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1) In Progress\"/>
    </mc:Choice>
  </mc:AlternateContent>
  <xr:revisionPtr revIDLastSave="0" documentId="13_ncr:1_{3E505F28-3346-41A7-8091-C1F76CD3CFF4}" xr6:coauthVersionLast="47" xr6:coauthVersionMax="47" xr10:uidLastSave="{00000000-0000-0000-0000-000000000000}"/>
  <bookViews>
    <workbookView xWindow="28680" yWindow="-4950" windowWidth="29040" windowHeight="15840" firstSheet="4"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s" sheetId="16" r:id="rId15"/>
    <sheet name="CAPM" sheetId="23" r:id="rId16"/>
    <sheet name="Single Stage Div Growth Model" sheetId="19" r:id="rId17"/>
    <sheet name="Two-Stage Dividend Growth Model" sheetId="20" r:id="rId18"/>
    <sheet name="Multiples" sheetId="31" r:id="rId19"/>
    <sheet name="Info" sheetId="9" r:id="rId20"/>
  </sheets>
  <definedNames>
    <definedName name="_xlnm.Print_Area" localSheetId="6">'Beta for CAPM'!$A$1:$I$41</definedName>
    <definedName name="_xlnm.Print_Area" localSheetId="15">CAPM!$A$1:$H$86</definedName>
    <definedName name="_xlnm.Print_Area" localSheetId="0">'Cover Sheet'!$A$1:$I$37</definedName>
    <definedName name="_xlnm.Print_Area" localSheetId="2">'Direct CapRates'!$A$1:$H$66</definedName>
    <definedName name="_xlnm.Print_Area" localSheetId="9">'Direct Debt'!$A$1:$K$38</definedName>
    <definedName name="_xlnm.Print_Area" localSheetId="11">'Direct GCF'!$A$1:$N$39</definedName>
    <definedName name="_xlnm.Print_Area" localSheetId="12">'Direct NOPAT'!$A$1:$N$68</definedName>
    <definedName name="_xlnm.Print_Area" localSheetId="7">'Dividends '!$A$1:$K$35</definedName>
    <definedName name="_xlnm.Print_Area" localSheetId="8">Earnings!$A$1:$K$35</definedName>
    <definedName name="_xlnm.Print_Area" localSheetId="13">'Growth &amp; Inflation Rates'!$A$1:$H$118</definedName>
    <definedName name="_xlnm.Print_Area" localSheetId="14">'Indicated Yield Equity Rates'!$A$1:$F$57</definedName>
    <definedName name="_xlnm.Print_Area" localSheetId="5">'Maintenance CapEx'!$A$1:$L$81</definedName>
    <definedName name="_xlnm.Print_Area" localSheetId="4">'Market to Book Ratios'!$A$1:$G$68</definedName>
    <definedName name="_xlnm.Print_Area" localSheetId="18">Multiples!$A$1:$I$42</definedName>
    <definedName name="_xlnm.Print_Area" localSheetId="3">'S&amp;D'!$A$1:$L$86</definedName>
    <definedName name="_xlnm.Print_Area" localSheetId="16">'Single Stage Div Growth Model'!$A$1:$K$49</definedName>
    <definedName name="_xlnm.Print_Area" localSheetId="17">'Two-Stage Dividend Growth Model'!$A$1:$I$47</definedName>
    <definedName name="_xlnm.Print_Area" localSheetId="1">'Yield CapRate'!$A$1:$H$35</definedName>
    <definedName name="_xlnm.Print_Area" localSheetId="10">'Yield Debt'!$A$1:$M$63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2" i="13" l="1"/>
  <c r="J31" i="13"/>
  <c r="I32" i="13"/>
  <c r="I31" i="13"/>
  <c r="L33" i="11"/>
  <c r="L32" i="11"/>
  <c r="J47" i="3"/>
  <c r="H47" i="3"/>
  <c r="J52" i="3"/>
  <c r="C23" i="13"/>
  <c r="C21" i="13"/>
  <c r="C19" i="13"/>
  <c r="D30" i="11"/>
  <c r="G29" i="11"/>
  <c r="D28" i="11"/>
  <c r="G24" i="11" l="1"/>
  <c r="F24" i="13"/>
  <c r="F25" i="13"/>
  <c r="F26" i="13"/>
  <c r="F23" i="11" l="1"/>
  <c r="G20" i="11"/>
  <c r="D50" i="29"/>
  <c r="D49" i="29"/>
  <c r="F22" i="29"/>
  <c r="G52" i="3"/>
  <c r="J32" i="3"/>
  <c r="G51" i="3"/>
  <c r="J31" i="3"/>
  <c r="G50" i="3"/>
  <c r="J30" i="3" l="1"/>
  <c r="G49" i="3"/>
  <c r="J29" i="3"/>
  <c r="G48" i="3"/>
  <c r="J28" i="3"/>
  <c r="G47" i="3"/>
  <c r="J27" i="3"/>
  <c r="G46" i="3"/>
  <c r="F46" i="3"/>
  <c r="J26" i="3"/>
  <c r="H26" i="3"/>
  <c r="J45" i="3" l="1"/>
  <c r="J42" i="3"/>
  <c r="H45" i="3"/>
  <c r="H43" i="3"/>
  <c r="J43" i="3" s="1"/>
  <c r="H42" i="3"/>
  <c r="G45" i="3"/>
  <c r="J25" i="3"/>
  <c r="G43" i="3" l="1"/>
  <c r="G42" i="3"/>
  <c r="G44" i="3"/>
  <c r="J24" i="3"/>
  <c r="J23" i="3"/>
  <c r="H23" i="3"/>
  <c r="D42" i="3" l="1"/>
  <c r="C59" i="23"/>
  <c r="C58" i="23"/>
  <c r="C57" i="23"/>
  <c r="C55" i="23"/>
  <c r="C54" i="23"/>
  <c r="C52" i="23"/>
  <c r="C50" i="23"/>
  <c r="C48" i="23"/>
  <c r="C47" i="23"/>
  <c r="C46" i="23"/>
  <c r="C45" i="23"/>
  <c r="C43" i="23"/>
  <c r="G29" i="31"/>
  <c r="G28" i="31"/>
  <c r="E29" i="31"/>
  <c r="E28" i="31"/>
  <c r="H29" i="19"/>
  <c r="G29" i="19"/>
  <c r="H28" i="19"/>
  <c r="G28" i="19"/>
  <c r="E63" i="12"/>
  <c r="E62" i="12"/>
  <c r="K29" i="12"/>
  <c r="K28" i="12"/>
  <c r="E29" i="12"/>
  <c r="E28" i="12"/>
  <c r="J30" i="5"/>
  <c r="J29" i="5"/>
  <c r="D30" i="5"/>
  <c r="D29" i="5"/>
  <c r="J28" i="8" l="1"/>
  <c r="I28" i="8"/>
  <c r="G28" i="8"/>
  <c r="J27" i="8"/>
  <c r="I27" i="8"/>
  <c r="G27" i="8"/>
  <c r="I29" i="27"/>
  <c r="G29" i="27"/>
  <c r="I28" i="27"/>
  <c r="G28" i="27"/>
  <c r="E29" i="27"/>
  <c r="E28" i="27"/>
  <c r="I29" i="17" l="1"/>
  <c r="G29" i="17"/>
  <c r="I28" i="17"/>
  <c r="G28" i="17"/>
  <c r="E29" i="17"/>
  <c r="E28" i="17"/>
  <c r="I30" i="14"/>
  <c r="I29" i="14"/>
  <c r="H30" i="14"/>
  <c r="H29" i="14"/>
  <c r="F93" i="24" l="1"/>
  <c r="E17" i="23" s="1"/>
  <c r="E19" i="23"/>
  <c r="E20" i="23"/>
  <c r="E21" i="23"/>
  <c r="E22" i="23"/>
  <c r="E24" i="23"/>
  <c r="E26" i="23"/>
  <c r="E28" i="23"/>
  <c r="E29" i="23"/>
  <c r="E31" i="23"/>
  <c r="E32" i="23"/>
  <c r="E33" i="23"/>
  <c r="E16" i="23"/>
  <c r="D88" i="24" l="1"/>
  <c r="D87" i="24"/>
  <c r="J22" i="3" l="1"/>
  <c r="E90" i="24" l="1"/>
  <c r="E89" i="24"/>
  <c r="D86" i="24"/>
  <c r="F86" i="24" s="1"/>
  <c r="D85" i="24"/>
  <c r="F85" i="24" s="1"/>
  <c r="D84" i="24"/>
  <c r="F84" i="24" s="1"/>
  <c r="D83" i="24"/>
  <c r="F83" i="24" s="1"/>
  <c r="D82" i="24"/>
  <c r="F82" i="24" s="1"/>
  <c r="D81" i="24"/>
  <c r="F81" i="24" s="1"/>
  <c r="D80" i="24"/>
  <c r="F80" i="24" s="1"/>
  <c r="D79" i="24"/>
  <c r="D89" i="24" s="1"/>
  <c r="F46" i="23"/>
  <c r="E46" i="23"/>
  <c r="B46" i="23"/>
  <c r="A46" i="23"/>
  <c r="F58" i="23"/>
  <c r="B58" i="23"/>
  <c r="E58" i="23" s="1"/>
  <c r="F48" i="23"/>
  <c r="B48" i="23"/>
  <c r="E48" i="23" s="1"/>
  <c r="F47" i="23"/>
  <c r="B47" i="23"/>
  <c r="E47" i="23" s="1"/>
  <c r="A6" i="31"/>
  <c r="A6" i="20"/>
  <c r="A6" i="19"/>
  <c r="A6" i="23"/>
  <c r="A6" i="16"/>
  <c r="A7" i="24"/>
  <c r="A6" i="12"/>
  <c r="A6" i="5"/>
  <c r="A6" i="13"/>
  <c r="A6" i="8"/>
  <c r="A6" i="27"/>
  <c r="A6" i="17"/>
  <c r="A8" i="14"/>
  <c r="A8" i="11"/>
  <c r="A9" i="29"/>
  <c r="D15" i="10"/>
  <c r="D16" i="7"/>
  <c r="A16" i="6"/>
  <c r="C16" i="23"/>
  <c r="C29" i="23" s="1"/>
  <c r="F61" i="23"/>
  <c r="B61" i="23"/>
  <c r="E61" i="23" s="1"/>
  <c r="F59" i="23"/>
  <c r="B59" i="23"/>
  <c r="E59" i="23" s="1"/>
  <c r="F57" i="23"/>
  <c r="B57" i="23"/>
  <c r="E57" i="23" s="1"/>
  <c r="F55" i="23"/>
  <c r="B55" i="23"/>
  <c r="E55" i="23" s="1"/>
  <c r="F54" i="23"/>
  <c r="B54" i="23"/>
  <c r="E54" i="23" s="1"/>
  <c r="F52" i="23"/>
  <c r="B52" i="23"/>
  <c r="E52" i="23" s="1"/>
  <c r="F50" i="23"/>
  <c r="B50" i="23"/>
  <c r="E50" i="23" s="1"/>
  <c r="F45" i="23"/>
  <c r="B45" i="23"/>
  <c r="E45" i="23" s="1"/>
  <c r="F43" i="23"/>
  <c r="B43" i="23"/>
  <c r="E43" i="23" s="1"/>
  <c r="F42" i="23"/>
  <c r="B42" i="23"/>
  <c r="E42" i="23" s="1"/>
  <c r="F89" i="24" l="1"/>
  <c r="F79" i="24"/>
  <c r="D90" i="24"/>
  <c r="F90" i="24" s="1"/>
  <c r="C20" i="23"/>
  <c r="C32" i="23"/>
  <c r="C22" i="23"/>
  <c r="C21" i="23"/>
  <c r="C17" i="23"/>
  <c r="D43" i="23" s="1"/>
  <c r="G43" i="23" s="1"/>
  <c r="D28" i="16" s="1"/>
  <c r="C42" i="23"/>
  <c r="D42" i="23" s="1"/>
  <c r="G42" i="23" s="1"/>
  <c r="D27" i="16" s="1"/>
  <c r="C28" i="23"/>
  <c r="D54" i="23" s="1"/>
  <c r="G54" i="23" s="1"/>
  <c r="D35" i="16" s="1"/>
  <c r="D59" i="23"/>
  <c r="G59" i="23" s="1"/>
  <c r="D39" i="16" s="1"/>
  <c r="D55" i="23"/>
  <c r="G55" i="23" s="1"/>
  <c r="D36" i="16" s="1"/>
  <c r="D29" i="23"/>
  <c r="F29" i="23" s="1"/>
  <c r="C26" i="23"/>
  <c r="C33" i="23"/>
  <c r="D16" i="23"/>
  <c r="F16" i="23" s="1"/>
  <c r="C24" i="23"/>
  <c r="C31" i="23"/>
  <c r="C19" i="23"/>
  <c r="D46" i="23" l="1"/>
  <c r="G46" i="23" s="1"/>
  <c r="D30" i="16" s="1"/>
  <c r="D20" i="23"/>
  <c r="F20" i="23" s="1"/>
  <c r="D17" i="16" s="1"/>
  <c r="D17" i="23"/>
  <c r="F17" i="23" s="1"/>
  <c r="D48" i="23"/>
  <c r="G48" i="23" s="1"/>
  <c r="D32" i="16" s="1"/>
  <c r="D22" i="23"/>
  <c r="F22" i="23" s="1"/>
  <c r="D19" i="16" s="1"/>
  <c r="D21" i="23"/>
  <c r="F21" i="23" s="1"/>
  <c r="D18" i="16" s="1"/>
  <c r="D47" i="23"/>
  <c r="G47" i="23" s="1"/>
  <c r="D31" i="16" s="1"/>
  <c r="D58" i="23"/>
  <c r="G58" i="23" s="1"/>
  <c r="D38" i="16" s="1"/>
  <c r="D32" i="23"/>
  <c r="F32" i="23" s="1"/>
  <c r="D25" i="16" s="1"/>
  <c r="D28" i="23"/>
  <c r="F28" i="23" s="1"/>
  <c r="D24" i="23"/>
  <c r="F24" i="23" s="1"/>
  <c r="D50" i="23"/>
  <c r="G50" i="23" s="1"/>
  <c r="D33" i="16" s="1"/>
  <c r="D26" i="23"/>
  <c r="F26" i="23" s="1"/>
  <c r="D52" i="23"/>
  <c r="G52" i="23" s="1"/>
  <c r="D34" i="16" s="1"/>
  <c r="D45" i="23"/>
  <c r="G45" i="23" s="1"/>
  <c r="D29" i="16" s="1"/>
  <c r="D19" i="23"/>
  <c r="F19" i="23" s="1"/>
  <c r="D61" i="23"/>
  <c r="G61" i="23" s="1"/>
  <c r="D33" i="23"/>
  <c r="F33" i="23" s="1"/>
  <c r="D26" i="16" s="1"/>
  <c r="D31" i="23"/>
  <c r="F31" i="23" s="1"/>
  <c r="D24" i="16" s="1"/>
  <c r="D57" i="23"/>
  <c r="G57" i="23" s="1"/>
  <c r="D37" i="16" s="1"/>
  <c r="G22" i="13" l="1"/>
  <c r="G21" i="13"/>
  <c r="A50" i="3" l="1"/>
  <c r="D15" i="16" l="1"/>
  <c r="F22" i="13"/>
  <c r="F21" i="13"/>
  <c r="B27" i="5"/>
  <c r="H27" i="5" s="1"/>
  <c r="A27" i="5"/>
  <c r="B26" i="5"/>
  <c r="H26" i="5" s="1"/>
  <c r="A26" i="5"/>
  <c r="B25" i="5"/>
  <c r="H25" i="5" s="1"/>
  <c r="A25" i="5"/>
  <c r="B24" i="5"/>
  <c r="H24" i="5" s="1"/>
  <c r="A24" i="5"/>
  <c r="B23" i="5"/>
  <c r="H23" i="5" s="1"/>
  <c r="A23" i="5"/>
  <c r="B22" i="5"/>
  <c r="H22" i="5" s="1"/>
  <c r="A22" i="5"/>
  <c r="B21" i="5"/>
  <c r="H21" i="5" s="1"/>
  <c r="A21" i="5"/>
  <c r="B20" i="5"/>
  <c r="H20" i="5" s="1"/>
  <c r="A20" i="5"/>
  <c r="B19" i="5"/>
  <c r="H19" i="5" s="1"/>
  <c r="A19" i="5"/>
  <c r="B18" i="5"/>
  <c r="H18" i="5" s="1"/>
  <c r="A18" i="5"/>
  <c r="C17" i="5"/>
  <c r="B17" i="5"/>
  <c r="H17" i="5" s="1"/>
  <c r="A17" i="5"/>
  <c r="F32" i="3"/>
  <c r="F31" i="3"/>
  <c r="F30" i="3"/>
  <c r="F29" i="3"/>
  <c r="F28" i="3"/>
  <c r="F27" i="3"/>
  <c r="F26" i="3"/>
  <c r="F25" i="3"/>
  <c r="F24" i="3"/>
  <c r="F23" i="3"/>
  <c r="F22" i="3"/>
  <c r="C23" i="11"/>
  <c r="C24" i="11"/>
  <c r="C25" i="11"/>
  <c r="C26" i="11"/>
  <c r="C27" i="11"/>
  <c r="C28" i="11"/>
  <c r="C29" i="11"/>
  <c r="C30" i="11"/>
  <c r="C21" i="11"/>
  <c r="C22" i="11"/>
  <c r="C20" i="11"/>
  <c r="H21" i="13" l="1"/>
  <c r="I21" i="13" s="1"/>
  <c r="J21" i="13"/>
  <c r="J22" i="13"/>
  <c r="H22" i="13"/>
  <c r="I22" i="13" s="1"/>
  <c r="F21" i="20"/>
  <c r="F31" i="20" l="1"/>
  <c r="F27" i="20"/>
  <c r="F23" i="20"/>
  <c r="F30" i="20"/>
  <c r="F26" i="20"/>
  <c r="F22" i="20"/>
  <c r="F29" i="20"/>
  <c r="F25" i="20"/>
  <c r="F28" i="20"/>
  <c r="F24" i="20"/>
  <c r="G24" i="24"/>
  <c r="G29" i="13"/>
  <c r="G28" i="13"/>
  <c r="G27" i="13"/>
  <c r="G26" i="13"/>
  <c r="G25" i="13"/>
  <c r="G24" i="13"/>
  <c r="G23" i="13"/>
  <c r="G20" i="13"/>
  <c r="G19" i="13"/>
  <c r="F28" i="13" l="1"/>
  <c r="H28" i="13" s="1"/>
  <c r="F27" i="13"/>
  <c r="F23" i="13"/>
  <c r="F29" i="13"/>
  <c r="F20" i="13"/>
  <c r="F19" i="13"/>
  <c r="E44" i="29"/>
  <c r="E31" i="20"/>
  <c r="E30" i="20"/>
  <c r="E29" i="20"/>
  <c r="E28" i="20"/>
  <c r="E27" i="20"/>
  <c r="E26" i="20"/>
  <c r="E25" i="20"/>
  <c r="E24" i="20"/>
  <c r="E23" i="20"/>
  <c r="E22" i="20"/>
  <c r="C31" i="20"/>
  <c r="B31" i="20"/>
  <c r="C30" i="20"/>
  <c r="B30" i="20"/>
  <c r="C29" i="20"/>
  <c r="B29" i="20"/>
  <c r="C28" i="20"/>
  <c r="B28" i="20"/>
  <c r="C27" i="20"/>
  <c r="B27" i="20"/>
  <c r="C26" i="20"/>
  <c r="B26" i="20"/>
  <c r="C25" i="20"/>
  <c r="B25" i="20"/>
  <c r="C24" i="20"/>
  <c r="B24" i="20"/>
  <c r="C23" i="20"/>
  <c r="B23" i="20"/>
  <c r="C22" i="20"/>
  <c r="B22" i="20"/>
  <c r="C21" i="20"/>
  <c r="B21" i="20"/>
  <c r="A31" i="20"/>
  <c r="A30" i="20"/>
  <c r="A29" i="20"/>
  <c r="A28" i="20"/>
  <c r="A27" i="20"/>
  <c r="A26" i="20"/>
  <c r="A25" i="20"/>
  <c r="A24" i="20"/>
  <c r="A23" i="20"/>
  <c r="A22" i="20"/>
  <c r="A21" i="20"/>
  <c r="D27" i="19"/>
  <c r="D26" i="19"/>
  <c r="D25" i="19"/>
  <c r="D24" i="19"/>
  <c r="D23" i="19"/>
  <c r="D22" i="19"/>
  <c r="D21" i="19"/>
  <c r="D20" i="19"/>
  <c r="D19" i="19"/>
  <c r="D18" i="19"/>
  <c r="C27" i="19"/>
  <c r="B27" i="19"/>
  <c r="A27" i="19"/>
  <c r="C26" i="19"/>
  <c r="B26" i="19"/>
  <c r="A26" i="19"/>
  <c r="C25" i="19"/>
  <c r="B25" i="19"/>
  <c r="A25" i="19"/>
  <c r="C24" i="19"/>
  <c r="B24" i="19"/>
  <c r="A24" i="19"/>
  <c r="C23" i="19"/>
  <c r="B23" i="19"/>
  <c r="A23" i="19"/>
  <c r="C22" i="19"/>
  <c r="B22" i="19"/>
  <c r="A22" i="19"/>
  <c r="C21" i="19"/>
  <c r="B21" i="19"/>
  <c r="A21" i="19"/>
  <c r="C20" i="19"/>
  <c r="B20" i="19"/>
  <c r="A20" i="19"/>
  <c r="C19" i="19"/>
  <c r="B19" i="19"/>
  <c r="A19" i="19"/>
  <c r="C18" i="19"/>
  <c r="B18" i="19"/>
  <c r="A18" i="19"/>
  <c r="C17" i="19"/>
  <c r="B17" i="19"/>
  <c r="A17" i="19"/>
  <c r="E21" i="20"/>
  <c r="C26" i="12" l="1"/>
  <c r="A26" i="12"/>
  <c r="C25" i="12"/>
  <c r="A25" i="12"/>
  <c r="C24" i="12"/>
  <c r="A24" i="12"/>
  <c r="C23" i="12"/>
  <c r="A23" i="12"/>
  <c r="C22" i="12"/>
  <c r="A22" i="12"/>
  <c r="C21" i="12"/>
  <c r="A21" i="12"/>
  <c r="C20" i="12"/>
  <c r="A20" i="12"/>
  <c r="C19" i="12"/>
  <c r="A19" i="12"/>
  <c r="C18" i="12"/>
  <c r="A18" i="12"/>
  <c r="C17" i="12"/>
  <c r="A17" i="12"/>
  <c r="C16" i="12"/>
  <c r="A16" i="12"/>
  <c r="C60" i="12"/>
  <c r="A60" i="12"/>
  <c r="C59" i="12"/>
  <c r="A59" i="12"/>
  <c r="C58" i="12"/>
  <c r="A58" i="12"/>
  <c r="C57" i="12"/>
  <c r="A57" i="12"/>
  <c r="C56" i="12"/>
  <c r="A56" i="12"/>
  <c r="C55" i="12"/>
  <c r="A55" i="12"/>
  <c r="C54" i="12"/>
  <c r="A54" i="12"/>
  <c r="C53" i="12"/>
  <c r="A53" i="12"/>
  <c r="C52" i="12"/>
  <c r="A52" i="12"/>
  <c r="C51" i="12"/>
  <c r="A51" i="12"/>
  <c r="C50" i="12"/>
  <c r="A50" i="12"/>
  <c r="E54" i="29" l="1"/>
  <c r="E52" i="29"/>
  <c r="D52" i="29"/>
  <c r="D51" i="29"/>
  <c r="D52" i="3" l="1"/>
  <c r="C52" i="3"/>
  <c r="B52" i="3"/>
  <c r="D51" i="3"/>
  <c r="C51" i="3"/>
  <c r="B51" i="3"/>
  <c r="D50" i="3"/>
  <c r="C50" i="3"/>
  <c r="B50" i="3"/>
  <c r="C49" i="3"/>
  <c r="B49" i="3"/>
  <c r="D48" i="3"/>
  <c r="C48" i="3"/>
  <c r="B48" i="3"/>
  <c r="E26" i="19" l="1"/>
  <c r="E25" i="19"/>
  <c r="E23" i="19"/>
  <c r="E27" i="19"/>
  <c r="G31" i="8"/>
  <c r="G30" i="8"/>
  <c r="G29" i="8"/>
  <c r="D43" i="16" l="1"/>
  <c r="D60" i="12"/>
  <c r="F60" i="12" s="1"/>
  <c r="G60" i="12" s="1"/>
  <c r="D59" i="12"/>
  <c r="F59" i="12" s="1"/>
  <c r="G59" i="12" s="1"/>
  <c r="D58" i="12"/>
  <c r="F58" i="12" s="1"/>
  <c r="G58" i="12" s="1"/>
  <c r="D57" i="12"/>
  <c r="F57" i="12" s="1"/>
  <c r="G57" i="12" s="1"/>
  <c r="D56" i="12"/>
  <c r="F56" i="12" s="1"/>
  <c r="G56" i="12" s="1"/>
  <c r="D55" i="12"/>
  <c r="F55" i="12" s="1"/>
  <c r="G55" i="12" s="1"/>
  <c r="D54" i="12"/>
  <c r="F54" i="12" s="1"/>
  <c r="G54" i="12" s="1"/>
  <c r="D53" i="12"/>
  <c r="F53" i="12" s="1"/>
  <c r="G53" i="12" s="1"/>
  <c r="D52" i="12"/>
  <c r="F52" i="12" s="1"/>
  <c r="G52" i="12" s="1"/>
  <c r="D51" i="12"/>
  <c r="D50" i="12"/>
  <c r="F50" i="12" s="1"/>
  <c r="E65" i="12"/>
  <c r="E64" i="12"/>
  <c r="G50" i="12" l="1"/>
  <c r="F63" i="12"/>
  <c r="F62" i="12"/>
  <c r="F51" i="12"/>
  <c r="G51" i="12" s="1"/>
  <c r="G64" i="12" s="1"/>
  <c r="G63" i="12" l="1"/>
  <c r="G62" i="12"/>
  <c r="F64" i="12"/>
  <c r="G65" i="12"/>
  <c r="F65" i="12"/>
  <c r="D26" i="31" l="1"/>
  <c r="C26" i="31"/>
  <c r="B26" i="31"/>
  <c r="D25" i="31"/>
  <c r="C25" i="31"/>
  <c r="B25" i="31"/>
  <c r="D24" i="31"/>
  <c r="C24" i="31"/>
  <c r="B24" i="31"/>
  <c r="D23" i="31"/>
  <c r="C23" i="31"/>
  <c r="B23" i="31"/>
  <c r="D22" i="31"/>
  <c r="C22" i="31"/>
  <c r="B22" i="31"/>
  <c r="D21" i="31"/>
  <c r="C21" i="31"/>
  <c r="B21" i="31"/>
  <c r="D20" i="31"/>
  <c r="C20" i="31"/>
  <c r="B20" i="31"/>
  <c r="D19" i="31"/>
  <c r="C19" i="31"/>
  <c r="B19" i="31"/>
  <c r="D18" i="31"/>
  <c r="C18" i="31"/>
  <c r="B18" i="31"/>
  <c r="D17" i="31"/>
  <c r="C17" i="31"/>
  <c r="B17" i="31"/>
  <c r="D16" i="31"/>
  <c r="C16" i="31"/>
  <c r="B16" i="31"/>
  <c r="F16" i="31" l="1"/>
  <c r="H16" i="31"/>
  <c r="F23" i="31"/>
  <c r="H23" i="31"/>
  <c r="F26" i="31"/>
  <c r="H26" i="31"/>
  <c r="F19" i="31"/>
  <c r="H19" i="31"/>
  <c r="F22" i="31"/>
  <c r="H22" i="31"/>
  <c r="F18" i="31"/>
  <c r="H18" i="31"/>
  <c r="F21" i="31"/>
  <c r="H21" i="31"/>
  <c r="F25" i="31"/>
  <c r="H25" i="31"/>
  <c r="F17" i="31"/>
  <c r="H17" i="31"/>
  <c r="F20" i="31"/>
  <c r="H20" i="31"/>
  <c r="F24" i="31"/>
  <c r="H24" i="31"/>
  <c r="H28" i="31" l="1"/>
  <c r="H29" i="31"/>
  <c r="F29" i="31"/>
  <c r="F28" i="31"/>
  <c r="F31" i="31"/>
  <c r="F30" i="31"/>
  <c r="H30" i="31"/>
  <c r="H31" i="31"/>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B29" i="13"/>
  <c r="A29" i="13"/>
  <c r="B28" i="13"/>
  <c r="A28" i="13"/>
  <c r="B27" i="13"/>
  <c r="A27" i="13"/>
  <c r="B26" i="13"/>
  <c r="A26" i="13"/>
  <c r="B25" i="13"/>
  <c r="A25" i="13"/>
  <c r="B24" i="13"/>
  <c r="A24" i="13"/>
  <c r="B23" i="13"/>
  <c r="A23" i="13"/>
  <c r="B22" i="13"/>
  <c r="A22" i="13"/>
  <c r="B21" i="13"/>
  <c r="A21" i="13"/>
  <c r="B20" i="13"/>
  <c r="A20" i="13"/>
  <c r="B19" i="13"/>
  <c r="A19" i="13"/>
  <c r="C26" i="27"/>
  <c r="B26" i="27"/>
  <c r="A26" i="27"/>
  <c r="C25" i="27"/>
  <c r="B25" i="27"/>
  <c r="A25" i="27"/>
  <c r="C24" i="27"/>
  <c r="B24" i="27"/>
  <c r="A24" i="27"/>
  <c r="C23" i="27"/>
  <c r="B23" i="27"/>
  <c r="A23" i="27"/>
  <c r="C22" i="27"/>
  <c r="B22" i="27"/>
  <c r="A22" i="27"/>
  <c r="C21" i="27"/>
  <c r="B21" i="27"/>
  <c r="A21" i="27"/>
  <c r="C20" i="27"/>
  <c r="B20" i="27"/>
  <c r="A20" i="27"/>
  <c r="C19" i="27"/>
  <c r="B19" i="27"/>
  <c r="A19" i="27"/>
  <c r="C18" i="27"/>
  <c r="B18" i="27"/>
  <c r="A18" i="27"/>
  <c r="C17" i="27"/>
  <c r="B17" i="27"/>
  <c r="A17" i="27"/>
  <c r="C16" i="27"/>
  <c r="B16" i="27"/>
  <c r="A16" i="27"/>
  <c r="C26" i="17"/>
  <c r="B26" i="17"/>
  <c r="A26" i="17"/>
  <c r="C25" i="17"/>
  <c r="B25" i="17"/>
  <c r="A25" i="17"/>
  <c r="C24" i="17"/>
  <c r="B24" i="17"/>
  <c r="A24" i="17"/>
  <c r="C23" i="17"/>
  <c r="B23" i="17"/>
  <c r="A23" i="17"/>
  <c r="C22" i="17"/>
  <c r="B22" i="17"/>
  <c r="A22" i="17"/>
  <c r="C21" i="17"/>
  <c r="B21" i="17"/>
  <c r="A21" i="17"/>
  <c r="C20" i="17"/>
  <c r="B20" i="17"/>
  <c r="A20" i="17"/>
  <c r="C19" i="17"/>
  <c r="B19" i="17"/>
  <c r="A19" i="17"/>
  <c r="C18" i="17"/>
  <c r="B18" i="17"/>
  <c r="A18" i="17"/>
  <c r="C17" i="17"/>
  <c r="B17" i="17"/>
  <c r="A17" i="17"/>
  <c r="C16" i="17"/>
  <c r="B16" i="17"/>
  <c r="A16" i="17"/>
  <c r="C28" i="14"/>
  <c r="B28" i="14"/>
  <c r="A28" i="14"/>
  <c r="C27" i="14"/>
  <c r="B27" i="14"/>
  <c r="A27" i="14"/>
  <c r="C26" i="14"/>
  <c r="B26" i="14"/>
  <c r="A26" i="14"/>
  <c r="C25" i="14"/>
  <c r="B25" i="14"/>
  <c r="A25" i="14"/>
  <c r="C24" i="14"/>
  <c r="B24" i="14"/>
  <c r="A24" i="14"/>
  <c r="C23" i="14"/>
  <c r="B23" i="14"/>
  <c r="A23" i="14"/>
  <c r="C22" i="14"/>
  <c r="B22" i="14"/>
  <c r="A22" i="14"/>
  <c r="C21" i="14"/>
  <c r="B21" i="14"/>
  <c r="A21" i="14"/>
  <c r="C20" i="14"/>
  <c r="B20" i="14"/>
  <c r="A20" i="14"/>
  <c r="C19" i="14"/>
  <c r="B19" i="14"/>
  <c r="A19" i="14"/>
  <c r="C18" i="14"/>
  <c r="B18" i="14"/>
  <c r="A18" i="14"/>
  <c r="B30" i="11"/>
  <c r="A30" i="11"/>
  <c r="B29" i="11"/>
  <c r="A29" i="11"/>
  <c r="B28" i="11"/>
  <c r="A28" i="11"/>
  <c r="B27" i="11"/>
  <c r="A27" i="11"/>
  <c r="B26" i="11"/>
  <c r="A26" i="11"/>
  <c r="B25" i="11"/>
  <c r="A25" i="11"/>
  <c r="B24" i="11"/>
  <c r="A24" i="11"/>
  <c r="B23" i="11"/>
  <c r="A23" i="11"/>
  <c r="B22" i="11"/>
  <c r="A22" i="11"/>
  <c r="B21" i="11"/>
  <c r="A21" i="11"/>
  <c r="B20" i="11"/>
  <c r="A20" i="11"/>
  <c r="C32" i="29"/>
  <c r="B32" i="29"/>
  <c r="A32" i="29"/>
  <c r="C31" i="29"/>
  <c r="B31" i="29"/>
  <c r="A31" i="29"/>
  <c r="C30" i="29"/>
  <c r="B30" i="29"/>
  <c r="A30" i="29"/>
  <c r="C29" i="29"/>
  <c r="B29" i="29"/>
  <c r="A29" i="29"/>
  <c r="C28" i="29"/>
  <c r="B28" i="29"/>
  <c r="A28" i="29"/>
  <c r="C27" i="29"/>
  <c r="B27" i="29"/>
  <c r="A27" i="29"/>
  <c r="C26" i="29"/>
  <c r="B26" i="29"/>
  <c r="A26" i="29"/>
  <c r="C25" i="29"/>
  <c r="B25" i="29"/>
  <c r="A25" i="29"/>
  <c r="C24" i="29"/>
  <c r="B24" i="29"/>
  <c r="A24" i="29"/>
  <c r="C23" i="29"/>
  <c r="B23" i="29"/>
  <c r="A23" i="29"/>
  <c r="C22" i="29"/>
  <c r="B22" i="29"/>
  <c r="A22" i="29"/>
  <c r="C54" i="29"/>
  <c r="B54" i="29"/>
  <c r="A54" i="29"/>
  <c r="C53" i="29"/>
  <c r="B53" i="29"/>
  <c r="A53" i="29"/>
  <c r="C52" i="29"/>
  <c r="B52" i="29"/>
  <c r="A52" i="29"/>
  <c r="C51" i="29"/>
  <c r="B51" i="29"/>
  <c r="A51" i="29"/>
  <c r="C50" i="29"/>
  <c r="B50" i="29"/>
  <c r="A50" i="29"/>
  <c r="C49" i="29"/>
  <c r="B49" i="29"/>
  <c r="A49" i="29"/>
  <c r="C48" i="29"/>
  <c r="B48" i="29"/>
  <c r="A48" i="29"/>
  <c r="C47" i="29"/>
  <c r="B47" i="29"/>
  <c r="A47" i="29"/>
  <c r="C46" i="29"/>
  <c r="B46" i="29"/>
  <c r="A46" i="29"/>
  <c r="C45" i="29"/>
  <c r="B45" i="29"/>
  <c r="A45" i="29"/>
  <c r="C44" i="29"/>
  <c r="B44" i="29"/>
  <c r="A44" i="29"/>
  <c r="D25" i="8"/>
  <c r="D24" i="8"/>
  <c r="D23" i="8"/>
  <c r="D22" i="8"/>
  <c r="D21" i="8"/>
  <c r="D20" i="8"/>
  <c r="D19" i="8"/>
  <c r="D18" i="8"/>
  <c r="D17" i="8"/>
  <c r="D16" i="8"/>
  <c r="D15" i="8"/>
  <c r="G64" i="10"/>
  <c r="K17" i="17"/>
  <c r="K16" i="17"/>
  <c r="F52" i="29"/>
  <c r="B63" i="29"/>
  <c r="I31" i="27"/>
  <c r="G31" i="27"/>
  <c r="E31" i="27"/>
  <c r="I30" i="27"/>
  <c r="G30" i="27"/>
  <c r="E30" i="27"/>
  <c r="K26" i="27"/>
  <c r="D26" i="27"/>
  <c r="J26" i="27" s="1"/>
  <c r="K25" i="27"/>
  <c r="D25" i="27"/>
  <c r="F25" i="27" s="1"/>
  <c r="K24" i="27"/>
  <c r="D24" i="27"/>
  <c r="H24" i="27" s="1"/>
  <c r="K23" i="27"/>
  <c r="D23" i="27"/>
  <c r="J23" i="27" s="1"/>
  <c r="K22" i="27"/>
  <c r="D22" i="27"/>
  <c r="H22" i="27" s="1"/>
  <c r="K21" i="27"/>
  <c r="D21" i="27"/>
  <c r="F21" i="27" s="1"/>
  <c r="K20" i="27"/>
  <c r="D20" i="27"/>
  <c r="H20" i="27" s="1"/>
  <c r="K19" i="27"/>
  <c r="D19" i="27"/>
  <c r="H19" i="27" s="1"/>
  <c r="K18" i="27"/>
  <c r="D18" i="27"/>
  <c r="F18" i="27" s="1"/>
  <c r="K17" i="27"/>
  <c r="D17" i="27"/>
  <c r="H17" i="27" s="1"/>
  <c r="K16" i="27"/>
  <c r="D16" i="27"/>
  <c r="J16" i="27" s="1"/>
  <c r="K26" i="17"/>
  <c r="K25" i="17"/>
  <c r="K24" i="17"/>
  <c r="K23" i="17"/>
  <c r="K22" i="17"/>
  <c r="K21" i="17"/>
  <c r="K20" i="17"/>
  <c r="K19" i="17"/>
  <c r="K18" i="17"/>
  <c r="J31" i="8"/>
  <c r="I31" i="8"/>
  <c r="K29" i="27" l="1"/>
  <c r="K28" i="27"/>
  <c r="K29" i="17"/>
  <c r="K28" i="17"/>
  <c r="A24" i="24"/>
  <c r="A15" i="24"/>
  <c r="G30" i="20"/>
  <c r="G26" i="20"/>
  <c r="G23" i="20"/>
  <c r="G28" i="20"/>
  <c r="G31" i="20"/>
  <c r="G24" i="20"/>
  <c r="G29" i="20"/>
  <c r="G25" i="20"/>
  <c r="G22" i="20"/>
  <c r="G27" i="20"/>
  <c r="J17" i="27"/>
  <c r="F20" i="27"/>
  <c r="J20" i="27"/>
  <c r="F17" i="27"/>
  <c r="D48" i="10"/>
  <c r="J22" i="27"/>
  <c r="H26" i="27"/>
  <c r="F19" i="27"/>
  <c r="F24" i="27"/>
  <c r="J19" i="27"/>
  <c r="F22" i="27"/>
  <c r="H23" i="27"/>
  <c r="J24" i="27"/>
  <c r="K31" i="27"/>
  <c r="D16" i="24" s="1"/>
  <c r="H18" i="27"/>
  <c r="H21" i="27"/>
  <c r="H25" i="27"/>
  <c r="K30" i="27"/>
  <c r="D15" i="24" s="1"/>
  <c r="F16" i="27"/>
  <c r="J18" i="27"/>
  <c r="J21" i="27"/>
  <c r="F23" i="27"/>
  <c r="J25" i="27"/>
  <c r="F26" i="27"/>
  <c r="H16" i="27"/>
  <c r="K30" i="17"/>
  <c r="C15" i="24" s="1"/>
  <c r="K31" i="17"/>
  <c r="C16" i="24" s="1"/>
  <c r="F28" i="27" l="1"/>
  <c r="F29" i="27"/>
  <c r="J29" i="27"/>
  <c r="J28" i="27"/>
  <c r="H28" i="27"/>
  <c r="H29" i="27"/>
  <c r="J31" i="27"/>
  <c r="J30" i="27"/>
  <c r="F31" i="27"/>
  <c r="F30" i="27"/>
  <c r="H31" i="27"/>
  <c r="H30" i="27"/>
  <c r="I31" i="17" l="1"/>
  <c r="I30" i="17"/>
  <c r="I24" i="12" l="1"/>
  <c r="C25" i="5"/>
  <c r="I25" i="5" s="1"/>
  <c r="L25" i="5" s="1"/>
  <c r="M25" i="5" s="1"/>
  <c r="J27" i="13"/>
  <c r="H27" i="13"/>
  <c r="I27" i="13" s="1"/>
  <c r="D24" i="17"/>
  <c r="F24" i="17" s="1"/>
  <c r="D30" i="29"/>
  <c r="F30" i="29" s="1"/>
  <c r="E50" i="3"/>
  <c r="H50" i="3" s="1"/>
  <c r="J50" i="3" s="1"/>
  <c r="F28" i="11"/>
  <c r="H28" i="11" s="1"/>
  <c r="D24" i="12"/>
  <c r="F24" i="12" s="1"/>
  <c r="G24" i="12" s="1"/>
  <c r="H24" i="24"/>
  <c r="D23" i="7"/>
  <c r="D58" i="10"/>
  <c r="E25" i="5" l="1"/>
  <c r="F25" i="5" s="1"/>
  <c r="H24" i="17"/>
  <c r="J24" i="17"/>
  <c r="J24" i="12"/>
  <c r="L24" i="12" s="1"/>
  <c r="M24" i="12" s="1"/>
  <c r="J28" i="11"/>
  <c r="I28" i="11"/>
  <c r="F25" i="19" l="1"/>
  <c r="I50" i="3"/>
  <c r="K28" i="11"/>
  <c r="L28" i="11" s="1"/>
  <c r="G31" i="10"/>
  <c r="D23" i="16"/>
  <c r="D22" i="16"/>
  <c r="D21" i="16"/>
  <c r="D20" i="16"/>
  <c r="D16" i="16"/>
  <c r="D14" i="16"/>
  <c r="D25" i="10"/>
  <c r="D41" i="16"/>
  <c r="D40" i="16"/>
  <c r="D42" i="16"/>
  <c r="D46" i="16" l="1"/>
  <c r="D45" i="16"/>
  <c r="D49" i="16"/>
  <c r="D47" i="16"/>
  <c r="D48" i="16"/>
  <c r="J25" i="19"/>
  <c r="D29" i="20"/>
  <c r="H29" i="20" s="1"/>
  <c r="I25" i="19"/>
  <c r="G21" i="20"/>
  <c r="H31" i="19"/>
  <c r="G31" i="19"/>
  <c r="H30" i="19"/>
  <c r="D17" i="19"/>
  <c r="G31" i="17"/>
  <c r="G30" i="17"/>
  <c r="D26" i="17"/>
  <c r="J26" i="17" s="1"/>
  <c r="D25" i="17"/>
  <c r="J25" i="17" s="1"/>
  <c r="D23" i="17"/>
  <c r="J23" i="17" s="1"/>
  <c r="D22" i="17"/>
  <c r="D21" i="17"/>
  <c r="J21" i="17" s="1"/>
  <c r="D20" i="17"/>
  <c r="J20" i="17" s="1"/>
  <c r="D19" i="17"/>
  <c r="J19" i="17" s="1"/>
  <c r="D18" i="17"/>
  <c r="J18" i="17" s="1"/>
  <c r="D17" i="17"/>
  <c r="D16" i="17"/>
  <c r="J16" i="17" s="1"/>
  <c r="E31" i="17"/>
  <c r="E30" i="17"/>
  <c r="I32" i="14"/>
  <c r="I31" i="14"/>
  <c r="I30" i="8"/>
  <c r="I29" i="8"/>
  <c r="F30" i="11"/>
  <c r="H30" i="11" s="1"/>
  <c r="F29" i="11"/>
  <c r="H29" i="11" s="1"/>
  <c r="F27" i="11"/>
  <c r="H27" i="11" s="1"/>
  <c r="F26" i="11"/>
  <c r="H26" i="11" s="1"/>
  <c r="F25" i="11"/>
  <c r="H25" i="11" s="1"/>
  <c r="F24" i="11"/>
  <c r="H24" i="11" s="1"/>
  <c r="H23" i="11"/>
  <c r="F22" i="11"/>
  <c r="H22" i="11" s="1"/>
  <c r="F21" i="11"/>
  <c r="H21" i="11" s="1"/>
  <c r="F20" i="11"/>
  <c r="H20" i="11" s="1"/>
  <c r="E25" i="8"/>
  <c r="E24" i="8"/>
  <c r="E22" i="8"/>
  <c r="E21" i="8"/>
  <c r="E20" i="8"/>
  <c r="E19" i="8"/>
  <c r="E18" i="8"/>
  <c r="E17" i="8"/>
  <c r="E16" i="8"/>
  <c r="E15" i="8"/>
  <c r="C27" i="5"/>
  <c r="I27" i="5" s="1"/>
  <c r="L27" i="5" s="1"/>
  <c r="C26" i="5"/>
  <c r="I26" i="5" s="1"/>
  <c r="L26" i="5" s="1"/>
  <c r="C24" i="5"/>
  <c r="I24" i="5" s="1"/>
  <c r="L24" i="5" s="1"/>
  <c r="C23" i="5"/>
  <c r="I23" i="5" s="1"/>
  <c r="L23" i="5" s="1"/>
  <c r="C22" i="5"/>
  <c r="I22" i="5" s="1"/>
  <c r="L22" i="5" s="1"/>
  <c r="C21" i="5"/>
  <c r="I21" i="5" s="1"/>
  <c r="L21" i="5" s="1"/>
  <c r="C20" i="5"/>
  <c r="I20" i="5" s="1"/>
  <c r="L20" i="5" s="1"/>
  <c r="C19" i="5"/>
  <c r="I19" i="5" s="1"/>
  <c r="L19" i="5" s="1"/>
  <c r="C18" i="5"/>
  <c r="I18" i="5" s="1"/>
  <c r="L18" i="5" s="1"/>
  <c r="I17" i="5"/>
  <c r="L17" i="5" s="1"/>
  <c r="J37" i="12"/>
  <c r="D23" i="10" s="1"/>
  <c r="I37" i="12"/>
  <c r="H36" i="5"/>
  <c r="D56" i="10" s="1"/>
  <c r="G36" i="5"/>
  <c r="H32" i="14"/>
  <c r="H31" i="14"/>
  <c r="J29" i="13"/>
  <c r="J28" i="13"/>
  <c r="J26" i="13"/>
  <c r="J25" i="13"/>
  <c r="J24" i="13"/>
  <c r="J23" i="13"/>
  <c r="J20" i="13"/>
  <c r="J19" i="13"/>
  <c r="I28" i="13"/>
  <c r="H26" i="13"/>
  <c r="I26" i="13" s="1"/>
  <c r="H25" i="13"/>
  <c r="I25" i="13" s="1"/>
  <c r="H24" i="13"/>
  <c r="I24" i="13" s="1"/>
  <c r="H23" i="13"/>
  <c r="I23" i="13" s="1"/>
  <c r="H20" i="13"/>
  <c r="I20" i="13" s="1"/>
  <c r="H19" i="13"/>
  <c r="I19" i="13" s="1"/>
  <c r="K31" i="12"/>
  <c r="E31" i="12"/>
  <c r="K30" i="12"/>
  <c r="E30" i="12"/>
  <c r="D26" i="12"/>
  <c r="F26" i="12" s="1"/>
  <c r="G26" i="12" s="1"/>
  <c r="D25" i="12"/>
  <c r="J25" i="12" s="1"/>
  <c r="D23" i="12"/>
  <c r="D22" i="12"/>
  <c r="F22" i="12" s="1"/>
  <c r="G22" i="12" s="1"/>
  <c r="D21" i="12"/>
  <c r="F21" i="12" s="1"/>
  <c r="G21" i="12" s="1"/>
  <c r="D20" i="12"/>
  <c r="J20" i="12" s="1"/>
  <c r="D19" i="12"/>
  <c r="F19" i="12" s="1"/>
  <c r="G19" i="12" s="1"/>
  <c r="D18" i="12"/>
  <c r="F18" i="12" s="1"/>
  <c r="G18" i="12" s="1"/>
  <c r="D17" i="12"/>
  <c r="J17" i="12" s="1"/>
  <c r="D16" i="12"/>
  <c r="J16" i="12" s="1"/>
  <c r="J17" i="17" l="1"/>
  <c r="H17" i="17"/>
  <c r="L30" i="5"/>
  <c r="L29" i="5"/>
  <c r="J22" i="17"/>
  <c r="F22" i="17"/>
  <c r="J29" i="17"/>
  <c r="J28" i="17"/>
  <c r="J20" i="11"/>
  <c r="I20" i="11"/>
  <c r="J34" i="13"/>
  <c r="J31" i="17"/>
  <c r="J30" i="17"/>
  <c r="J33" i="13"/>
  <c r="J18" i="12"/>
  <c r="L20" i="12"/>
  <c r="M20" i="12" s="1"/>
  <c r="L25" i="12"/>
  <c r="M25" i="12" s="1"/>
  <c r="L16" i="12"/>
  <c r="F17" i="17"/>
  <c r="H25" i="17"/>
  <c r="F25" i="17"/>
  <c r="H19" i="17"/>
  <c r="F19" i="17"/>
  <c r="H22" i="17"/>
  <c r="H26" i="17"/>
  <c r="F26" i="17"/>
  <c r="J21" i="12"/>
  <c r="H20" i="17"/>
  <c r="F20" i="17"/>
  <c r="H18" i="17"/>
  <c r="F18" i="17"/>
  <c r="H21" i="17"/>
  <c r="F21" i="17"/>
  <c r="H16" i="17"/>
  <c r="F16" i="17"/>
  <c r="H23" i="17"/>
  <c r="F23" i="17"/>
  <c r="J19" i="12"/>
  <c r="J22" i="12"/>
  <c r="J26" i="12"/>
  <c r="L17" i="12"/>
  <c r="M17" i="12" s="1"/>
  <c r="J23" i="12"/>
  <c r="F16" i="12"/>
  <c r="F23" i="12"/>
  <c r="G23" i="12" s="1"/>
  <c r="F20" i="12"/>
  <c r="G20" i="12" s="1"/>
  <c r="F17" i="12"/>
  <c r="G17" i="12" s="1"/>
  <c r="F25" i="12"/>
  <c r="G25" i="12" s="1"/>
  <c r="G16" i="12" l="1"/>
  <c r="F28" i="12"/>
  <c r="F29" i="12"/>
  <c r="H29" i="17"/>
  <c r="H28" i="17"/>
  <c r="F29" i="17"/>
  <c r="F28" i="17"/>
  <c r="K20" i="11"/>
  <c r="L20" i="11" s="1"/>
  <c r="F26" i="19"/>
  <c r="F19" i="19"/>
  <c r="I19" i="19" s="1"/>
  <c r="F20" i="19"/>
  <c r="D24" i="20" s="1"/>
  <c r="H24" i="20" s="1"/>
  <c r="F21" i="19"/>
  <c r="F22" i="19"/>
  <c r="D26" i="20" s="1"/>
  <c r="H26" i="20" s="1"/>
  <c r="F23" i="19"/>
  <c r="F24" i="19"/>
  <c r="F27" i="19"/>
  <c r="F18" i="19"/>
  <c r="L18" i="12"/>
  <c r="M18" i="12" s="1"/>
  <c r="L26" i="12"/>
  <c r="M26" i="12" s="1"/>
  <c r="L23" i="12"/>
  <c r="M23" i="12" s="1"/>
  <c r="L22" i="12"/>
  <c r="M22" i="12" s="1"/>
  <c r="F30" i="17"/>
  <c r="F31" i="17"/>
  <c r="L21" i="12"/>
  <c r="M21" i="12" s="1"/>
  <c r="L19" i="12"/>
  <c r="M19" i="12" s="1"/>
  <c r="F17" i="19"/>
  <c r="H30" i="17"/>
  <c r="H31" i="17"/>
  <c r="G30" i="12"/>
  <c r="F31" i="12"/>
  <c r="F30" i="12"/>
  <c r="M16" i="12"/>
  <c r="G31" i="12"/>
  <c r="L29" i="12" l="1"/>
  <c r="D21" i="20"/>
  <c r="H21" i="20" s="1"/>
  <c r="F28" i="19"/>
  <c r="F29" i="19"/>
  <c r="L28" i="12"/>
  <c r="M28" i="12"/>
  <c r="M29" i="12"/>
  <c r="G28" i="12"/>
  <c r="G29" i="12"/>
  <c r="J22" i="19"/>
  <c r="I22" i="19"/>
  <c r="J27" i="19"/>
  <c r="D31" i="20"/>
  <c r="H31" i="20" s="1"/>
  <c r="J23" i="19"/>
  <c r="D27" i="20"/>
  <c r="H27" i="20" s="1"/>
  <c r="J21" i="19"/>
  <c r="D25" i="20"/>
  <c r="H25" i="20" s="1"/>
  <c r="I23" i="19"/>
  <c r="J20" i="19"/>
  <c r="J18" i="19"/>
  <c r="D22" i="20"/>
  <c r="H22" i="20" s="1"/>
  <c r="J24" i="19"/>
  <c r="D28" i="20"/>
  <c r="H28" i="20" s="1"/>
  <c r="J19" i="19"/>
  <c r="D23" i="20"/>
  <c r="H23" i="20" s="1"/>
  <c r="J26" i="19"/>
  <c r="D30" i="20"/>
  <c r="H30" i="20" s="1"/>
  <c r="I20" i="19"/>
  <c r="I24" i="19"/>
  <c r="I26" i="19"/>
  <c r="I21" i="19"/>
  <c r="I27" i="19"/>
  <c r="I18" i="19"/>
  <c r="L31" i="12"/>
  <c r="L30" i="12"/>
  <c r="J17" i="19"/>
  <c r="F31" i="19"/>
  <c r="F30" i="19"/>
  <c r="I17" i="19"/>
  <c r="M31" i="12"/>
  <c r="M30" i="12"/>
  <c r="J29" i="19" l="1"/>
  <c r="J28" i="19"/>
  <c r="I28" i="19"/>
  <c r="I29" i="19"/>
  <c r="H33" i="20"/>
  <c r="H32" i="20"/>
  <c r="H35" i="20"/>
  <c r="H34" i="20"/>
  <c r="J31" i="19"/>
  <c r="J30" i="19"/>
  <c r="I31" i="19"/>
  <c r="I30" i="19"/>
  <c r="J32" i="5"/>
  <c r="J31" i="5"/>
  <c r="J30" i="11"/>
  <c r="J29" i="11"/>
  <c r="J27" i="11"/>
  <c r="J26" i="11"/>
  <c r="J25" i="11"/>
  <c r="J24" i="11"/>
  <c r="J23" i="11"/>
  <c r="J22" i="11"/>
  <c r="J21" i="11"/>
  <c r="I30" i="11"/>
  <c r="I29" i="11"/>
  <c r="I27" i="11"/>
  <c r="I26" i="11"/>
  <c r="I25" i="11"/>
  <c r="I24" i="11"/>
  <c r="I23" i="11"/>
  <c r="I22" i="11"/>
  <c r="I21" i="11"/>
  <c r="F56" i="10"/>
  <c r="C58" i="10"/>
  <c r="C56" i="10"/>
  <c r="F58" i="10"/>
  <c r="F25" i="10"/>
  <c r="C25" i="10"/>
  <c r="F23" i="10"/>
  <c r="C23" i="10"/>
  <c r="K30" i="11" l="1"/>
  <c r="L30" i="11" s="1"/>
  <c r="K22" i="11"/>
  <c r="L22" i="11" s="1"/>
  <c r="K21" i="11"/>
  <c r="L21" i="11" s="1"/>
  <c r="K27" i="11"/>
  <c r="L27" i="11" s="1"/>
  <c r="K26" i="11"/>
  <c r="L26" i="11" s="1"/>
  <c r="K25" i="11"/>
  <c r="L25" i="11" s="1"/>
  <c r="K24" i="11"/>
  <c r="L24" i="11" s="1"/>
  <c r="K23" i="11"/>
  <c r="L23" i="11" s="1"/>
  <c r="K29" i="11"/>
  <c r="L29" i="11" s="1"/>
  <c r="G25" i="10"/>
  <c r="C27" i="10"/>
  <c r="C60" i="10"/>
  <c r="G23" i="10"/>
  <c r="G56" i="10"/>
  <c r="G58" i="10"/>
  <c r="E53" i="29"/>
  <c r="D49" i="3"/>
  <c r="E50" i="29"/>
  <c r="E49" i="29"/>
  <c r="E48" i="29"/>
  <c r="E47" i="29"/>
  <c r="E46" i="29"/>
  <c r="E45" i="29"/>
  <c r="E24" i="19" l="1"/>
  <c r="D54" i="29"/>
  <c r="F54" i="29" s="1"/>
  <c r="E51" i="29"/>
  <c r="F51" i="29" s="1"/>
  <c r="D46" i="29"/>
  <c r="D48" i="29"/>
  <c r="D44" i="29"/>
  <c r="D47" i="29"/>
  <c r="D53" i="29"/>
  <c r="D45" i="29"/>
  <c r="L34" i="11"/>
  <c r="L35" i="11"/>
  <c r="G27" i="10"/>
  <c r="G60" i="10"/>
  <c r="M18" i="5"/>
  <c r="M19" i="5"/>
  <c r="M20" i="5"/>
  <c r="M21" i="5"/>
  <c r="M22" i="5"/>
  <c r="M23" i="5"/>
  <c r="M24" i="5"/>
  <c r="M26" i="5"/>
  <c r="M27" i="5"/>
  <c r="F47" i="29" l="1"/>
  <c r="F48" i="29"/>
  <c r="F50" i="29"/>
  <c r="F49" i="29"/>
  <c r="F45" i="29"/>
  <c r="F53" i="29"/>
  <c r="F44" i="29"/>
  <c r="F46" i="29"/>
  <c r="M17" i="5"/>
  <c r="L31" i="5"/>
  <c r="L32" i="5"/>
  <c r="M30" i="5" l="1"/>
  <c r="M29" i="5"/>
  <c r="F55" i="29"/>
  <c r="D63" i="29" s="1"/>
  <c r="M32" i="5"/>
  <c r="M31" i="5"/>
  <c r="E17" i="5" l="1"/>
  <c r="E44" i="3" l="1"/>
  <c r="H44" i="3" l="1"/>
  <c r="J44" i="3"/>
  <c r="A52" i="3"/>
  <c r="A51" i="3"/>
  <c r="A49" i="3"/>
  <c r="A48" i="3"/>
  <c r="A47" i="3"/>
  <c r="A46" i="3"/>
  <c r="A45" i="3"/>
  <c r="A44" i="3"/>
  <c r="A43" i="3"/>
  <c r="D32" i="29"/>
  <c r="F32" i="29" s="1"/>
  <c r="D31" i="29"/>
  <c r="F31" i="29" s="1"/>
  <c r="D29" i="29"/>
  <c r="F29" i="29" s="1"/>
  <c r="D28" i="29"/>
  <c r="F28" i="29" s="1"/>
  <c r="D47" i="3"/>
  <c r="D46" i="3"/>
  <c r="H46" i="3" s="1"/>
  <c r="J46" i="3" s="1"/>
  <c r="D45" i="3"/>
  <c r="D44" i="3"/>
  <c r="D43" i="3"/>
  <c r="D27" i="29" l="1"/>
  <c r="F27" i="29" s="1"/>
  <c r="E22" i="19"/>
  <c r="D26" i="29"/>
  <c r="F26" i="29" s="1"/>
  <c r="E21" i="19"/>
  <c r="D24" i="29"/>
  <c r="F24" i="29" s="1"/>
  <c r="E19" i="19"/>
  <c r="D25" i="29"/>
  <c r="F25" i="29" s="1"/>
  <c r="E20" i="19"/>
  <c r="D23" i="29"/>
  <c r="F23" i="29" s="1"/>
  <c r="E18" i="19"/>
  <c r="C23" i="7" l="1"/>
  <c r="C62" i="29" s="1"/>
  <c r="E62" i="29" s="1"/>
  <c r="C25" i="7"/>
  <c r="C63" i="29" s="1"/>
  <c r="E63" i="29" s="1"/>
  <c r="D25" i="7" l="1"/>
  <c r="J29" i="8" l="1"/>
  <c r="J30" i="8" l="1"/>
  <c r="E52" i="3" l="1"/>
  <c r="H52" i="3" s="1"/>
  <c r="E51" i="3"/>
  <c r="H51" i="3" s="1"/>
  <c r="J51" i="3" s="1"/>
  <c r="E49" i="3"/>
  <c r="H49" i="3" s="1"/>
  <c r="J49" i="3" s="1"/>
  <c r="E48" i="3"/>
  <c r="E47" i="3"/>
  <c r="E46" i="3"/>
  <c r="E45" i="3"/>
  <c r="H48" i="3" l="1"/>
  <c r="J48" i="3"/>
  <c r="J54" i="3" s="1"/>
  <c r="J53" i="3"/>
  <c r="D22" i="29"/>
  <c r="F33" i="29" s="1"/>
  <c r="D62" i="29" s="1"/>
  <c r="E64" i="29" s="1"/>
  <c r="I47" i="3"/>
  <c r="E17" i="19"/>
  <c r="I52" i="3"/>
  <c r="I51" i="3"/>
  <c r="I46" i="3"/>
  <c r="I49" i="3"/>
  <c r="E26" i="5"/>
  <c r="F26" i="5" s="1"/>
  <c r="I48" i="3" l="1"/>
  <c r="I45" i="3"/>
  <c r="E24" i="5"/>
  <c r="F24" i="5" s="1"/>
  <c r="E23" i="5"/>
  <c r="F23" i="5" s="1"/>
  <c r="D32" i="5" l="1"/>
  <c r="D31" i="5"/>
  <c r="E43" i="3" l="1"/>
  <c r="E42" i="3"/>
  <c r="I43" i="3" l="1"/>
  <c r="I44" i="3"/>
  <c r="I53" i="3" l="1"/>
  <c r="I54" i="3"/>
  <c r="I42" i="3"/>
  <c r="I55" i="3" s="1"/>
  <c r="J56" i="3"/>
  <c r="B47" i="3" l="1"/>
  <c r="B46" i="3"/>
  <c r="B45" i="3"/>
  <c r="B44" i="3"/>
  <c r="B43" i="3"/>
  <c r="C47" i="3"/>
  <c r="C46" i="3"/>
  <c r="C45" i="3"/>
  <c r="C44" i="3"/>
  <c r="C43" i="3"/>
  <c r="C42" i="3"/>
  <c r="B42" i="3" l="1"/>
  <c r="A42" i="3"/>
  <c r="E27" i="5"/>
  <c r="F27" i="5" s="1"/>
  <c r="E22" i="5"/>
  <c r="F22" i="5" s="1"/>
  <c r="E21" i="5"/>
  <c r="F21" i="5" s="1"/>
  <c r="E20" i="5"/>
  <c r="F20" i="5" s="1"/>
  <c r="E19" i="5"/>
  <c r="F19" i="5" s="1"/>
  <c r="E18" i="5"/>
  <c r="F18" i="5" l="1"/>
  <c r="E30" i="5"/>
  <c r="E29" i="5"/>
  <c r="E31" i="5"/>
  <c r="J55" i="3"/>
  <c r="E32" i="5"/>
  <c r="I56" i="3"/>
  <c r="F17" i="5"/>
  <c r="F31" i="5" l="1"/>
  <c r="F29" i="5"/>
  <c r="F30" i="5"/>
  <c r="F23" i="7"/>
  <c r="G23" i="7" s="1"/>
  <c r="F32" i="5"/>
  <c r="C27" i="7"/>
  <c r="F25" i="7"/>
  <c r="G25" i="7" s="1"/>
  <c r="G27" i="7" l="1"/>
  <c r="H29" i="13"/>
  <c r="I29" i="13" s="1"/>
  <c r="I34" i="13" s="1"/>
  <c r="I3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REVT221</author>
    <author>rev4440</author>
    <author>K Reaves</author>
    <author>rev3569</author>
    <author>Baker, Mike A (DOR)</author>
    <author>rev4279</author>
    <author>rev3857</author>
  </authors>
  <commentList>
    <comment ref="G22" authorId="0" shapeId="0" xr:uid="{6FE73528-5819-4E9D-BFFC-836563E81F06}">
      <text>
        <r>
          <rPr>
            <b/>
            <sz val="9"/>
            <color indexed="81"/>
            <rFont val="Tahoma"/>
            <family val="2"/>
          </rPr>
          <t>rev4175:</t>
        </r>
        <r>
          <rPr>
            <sz val="9"/>
            <color indexed="81"/>
            <rFont val="Tahoma"/>
            <family val="2"/>
          </rPr>
          <t xml:space="preserve">
12/29/2023 Close</t>
        </r>
      </text>
    </comment>
    <comment ref="H22" authorId="1" shapeId="0" xr:uid="{4CBA3795-BC1B-4A30-94DA-8CF75B3306C1}">
      <text>
        <r>
          <rPr>
            <sz val="9"/>
            <color indexed="81"/>
            <rFont val="Tahoma"/>
            <family val="2"/>
          </rPr>
          <t>Page 3 of PDF, 10-Q</t>
        </r>
      </text>
    </comment>
    <comment ref="J22" authorId="1" shapeId="0" xr:uid="{D45981DA-559F-438B-A976-1ECD2E3E3040}">
      <text>
        <r>
          <rPr>
            <sz val="9"/>
            <color indexed="81"/>
            <rFont val="Tahoma"/>
            <family val="2"/>
          </rPr>
          <t>Page 3 of PDF, 10-Q</t>
        </r>
      </text>
    </comment>
    <comment ref="G23" authorId="0" shapeId="0" xr:uid="{B0125A10-D229-436F-8323-0C1810E2DACD}">
      <text>
        <r>
          <rPr>
            <b/>
            <sz val="9"/>
            <color indexed="81"/>
            <rFont val="Tahoma"/>
            <family val="2"/>
          </rPr>
          <t>rev4175:</t>
        </r>
        <r>
          <rPr>
            <sz val="9"/>
            <color indexed="81"/>
            <rFont val="Tahoma"/>
            <family val="2"/>
          </rPr>
          <t xml:space="preserve">
12/29/2023 Close</t>
        </r>
      </text>
    </comment>
    <comment ref="H23" authorId="1" shapeId="0" xr:uid="{0EA5F010-EDD6-4512-AA97-3C9D0056E17D}">
      <text>
        <r>
          <rPr>
            <sz val="9"/>
            <color indexed="81"/>
            <rFont val="Tahoma"/>
            <family val="2"/>
          </rPr>
          <t>Page 63 of PDF, 10-K
Issiued minus treasury</t>
        </r>
      </text>
    </comment>
    <comment ref="J23" authorId="1" shapeId="0" xr:uid="{A8CA97FC-14BA-40D1-9162-CF91D9ED316E}">
      <text>
        <r>
          <rPr>
            <sz val="9"/>
            <color indexed="81"/>
            <rFont val="Tahoma"/>
            <family val="2"/>
          </rPr>
          <t>Page 63 of PDF, 10-K
LTD, NET PLUS CURRENT MATURITIES OF LTD</t>
        </r>
      </text>
    </comment>
    <comment ref="G24" authorId="0" shapeId="0" xr:uid="{286B8F3A-026F-4912-9499-921DAE07CD09}">
      <text>
        <r>
          <rPr>
            <b/>
            <sz val="9"/>
            <color indexed="81"/>
            <rFont val="Tahoma"/>
            <family val="2"/>
          </rPr>
          <t>rev4175:</t>
        </r>
        <r>
          <rPr>
            <sz val="9"/>
            <color indexed="81"/>
            <rFont val="Tahoma"/>
            <family val="2"/>
          </rPr>
          <t xml:space="preserve">
12/29/2023 Close</t>
        </r>
      </text>
    </comment>
    <comment ref="H24" authorId="2" shapeId="0" xr:uid="{59211207-2B4E-44D4-BC4B-7994F4FEFAE4}">
      <text>
        <r>
          <rPr>
            <sz val="9"/>
            <color indexed="81"/>
            <rFont val="Tahoma"/>
            <family val="2"/>
          </rPr>
          <t>Page 100
 of PDF, 10-K</t>
        </r>
      </text>
    </comment>
    <comment ref="I24" authorId="2" shapeId="0" xr:uid="{AB0F4AEA-5D05-43F4-9D90-5EA477EC8953}">
      <text>
        <r>
          <rPr>
            <sz val="9"/>
            <color indexed="81"/>
            <rFont val="Tahoma"/>
            <family val="2"/>
          </rPr>
          <t>Page 100
 of PDF, 10-K</t>
        </r>
      </text>
    </comment>
    <comment ref="J24" authorId="2" shapeId="0" xr:uid="{3D445548-1CF7-4B89-B510-80746EA7D6DB}">
      <text>
        <r>
          <rPr>
            <sz val="9"/>
            <color indexed="81"/>
            <rFont val="Tahoma"/>
            <family val="2"/>
          </rPr>
          <t>Page 100
 of PDF, 10-K</t>
        </r>
      </text>
    </comment>
    <comment ref="G25" authorId="0" shapeId="0" xr:uid="{EC2829A7-6DAB-42D8-A85E-E3D0F8668A0D}">
      <text>
        <r>
          <rPr>
            <b/>
            <sz val="9"/>
            <color indexed="81"/>
            <rFont val="Tahoma"/>
            <family val="2"/>
          </rPr>
          <t>rev4175:</t>
        </r>
        <r>
          <rPr>
            <sz val="9"/>
            <color indexed="81"/>
            <rFont val="Tahoma"/>
            <family val="2"/>
          </rPr>
          <t xml:space="preserve">
12/29/2023 Close</t>
        </r>
      </text>
    </comment>
    <comment ref="H25" authorId="2" shapeId="0" xr:uid="{1970BE21-7895-49B0-9BEF-4EFE024C3085}">
      <text>
        <r>
          <rPr>
            <sz val="9"/>
            <color indexed="81"/>
            <rFont val="Tahoma"/>
            <family val="2"/>
          </rPr>
          <t>Page 142 of PDF, 10-K</t>
        </r>
      </text>
    </comment>
    <comment ref="I25" authorId="1" shapeId="0" xr:uid="{1353C8F9-A9CD-4678-B9F0-45825B2AEF6B}">
      <text>
        <r>
          <rPr>
            <sz val="9"/>
            <color indexed="81"/>
            <rFont val="Tahoma"/>
            <family val="2"/>
          </rPr>
          <t>Page 142 of PDF, 10-K</t>
        </r>
      </text>
    </comment>
    <comment ref="J25" authorId="2" shapeId="0" xr:uid="{72905A29-360F-4147-81F7-7BA96C6E9FEC}">
      <text>
        <r>
          <rPr>
            <sz val="9"/>
            <color indexed="81"/>
            <rFont val="Tahoma"/>
            <family val="2"/>
          </rPr>
          <t>Page 140 of PDF, 10-K</t>
        </r>
      </text>
    </comment>
    <comment ref="G26" authorId="0" shapeId="0" xr:uid="{C0268DD6-0870-4DB1-8974-4B9D5EFA733C}">
      <text>
        <r>
          <rPr>
            <b/>
            <sz val="9"/>
            <color indexed="81"/>
            <rFont val="Tahoma"/>
            <family val="2"/>
          </rPr>
          <t>rev4175:</t>
        </r>
        <r>
          <rPr>
            <sz val="9"/>
            <color indexed="81"/>
            <rFont val="Tahoma"/>
            <family val="2"/>
          </rPr>
          <t xml:space="preserve">
12/29/2023 Close</t>
        </r>
      </text>
    </comment>
    <comment ref="H26" authorId="2" shapeId="0" xr:uid="{BDA27ABB-3ED6-4BFE-9B23-8CC3C1CC69D6}">
      <text>
        <r>
          <rPr>
            <sz val="9"/>
            <color indexed="81"/>
            <rFont val="Tahoma"/>
            <family val="2"/>
          </rPr>
          <t>Page 9 of PDF, 10-Q</t>
        </r>
      </text>
    </comment>
    <comment ref="J26" authorId="1" shapeId="0" xr:uid="{41C2685F-155D-4501-B49B-07E71AB34344}">
      <text>
        <r>
          <rPr>
            <sz val="9"/>
            <color indexed="81"/>
            <rFont val="Tahoma"/>
            <family val="2"/>
          </rPr>
          <t>Page  9 of PDF, 10-Q</t>
        </r>
      </text>
    </comment>
    <comment ref="G27" authorId="0" shapeId="0" xr:uid="{49323EBC-80D8-4A65-8DD3-041B48618875}">
      <text>
        <r>
          <rPr>
            <b/>
            <sz val="9"/>
            <color indexed="81"/>
            <rFont val="Tahoma"/>
            <family val="2"/>
          </rPr>
          <t>rev4175:</t>
        </r>
        <r>
          <rPr>
            <sz val="9"/>
            <color indexed="81"/>
            <rFont val="Tahoma"/>
            <family val="2"/>
          </rPr>
          <t xml:space="preserve">
12/29/2023 Close</t>
        </r>
      </text>
    </comment>
    <comment ref="H27" authorId="2" shapeId="0" xr:uid="{013CE875-ADF6-41BB-AB9C-E43B78743B94}">
      <text>
        <r>
          <rPr>
            <sz val="9"/>
            <color indexed="81"/>
            <rFont val="Tahoma"/>
            <family val="2"/>
          </rPr>
          <t>Page 61-62 of PDF, 10-K</t>
        </r>
      </text>
    </comment>
    <comment ref="I27" authorId="2" shapeId="0" xr:uid="{25D235E1-9EF2-4C0D-89DE-60F8FB1648E3}">
      <text>
        <r>
          <rPr>
            <sz val="9"/>
            <color indexed="81"/>
            <rFont val="Tahoma"/>
            <family val="2"/>
          </rPr>
          <t xml:space="preserve">Page 64  of PDF, 10-K  </t>
        </r>
      </text>
    </comment>
    <comment ref="J27" authorId="2" shapeId="0" xr:uid="{7B3B88D9-FEC5-4F54-8C9E-468AF8F8E815}">
      <text>
        <r>
          <rPr>
            <sz val="9"/>
            <color indexed="81"/>
            <rFont val="Tahoma"/>
            <family val="2"/>
          </rPr>
          <t>Page 102- 103 of PDF, 10-K</t>
        </r>
      </text>
    </comment>
    <comment ref="G28" authorId="0" shapeId="0" xr:uid="{0BAE675D-627C-43EF-84A6-8D89A6809377}">
      <text>
        <r>
          <rPr>
            <b/>
            <sz val="9"/>
            <color indexed="81"/>
            <rFont val="Tahoma"/>
            <family val="2"/>
          </rPr>
          <t>rev4175:</t>
        </r>
        <r>
          <rPr>
            <sz val="9"/>
            <color indexed="81"/>
            <rFont val="Tahoma"/>
            <family val="2"/>
          </rPr>
          <t xml:space="preserve">
12/29/2023 Close</t>
        </r>
      </text>
    </comment>
    <comment ref="H28" authorId="2" shapeId="0" xr:uid="{B3AD3563-8B01-4125-B1C3-CE31F75CEFCF}">
      <text>
        <r>
          <rPr>
            <sz val="9"/>
            <color indexed="81"/>
            <rFont val="Tahoma"/>
            <family val="2"/>
          </rPr>
          <t>Page 81 of PDF, 10-K</t>
        </r>
      </text>
    </comment>
    <comment ref="I28" authorId="2" shapeId="0" xr:uid="{2FDFCCB5-24E5-4F1B-885E-0F411B6DFFBB}">
      <text>
        <r>
          <rPr>
            <sz val="9"/>
            <color indexed="81"/>
            <rFont val="Tahoma"/>
            <family val="2"/>
          </rPr>
          <t>Page 81 of PDF, 10-K</t>
        </r>
      </text>
    </comment>
    <comment ref="J28" authorId="3" shapeId="0" xr:uid="{E1553E99-7E0C-4775-8B28-75B8E6DB7B0B}">
      <text>
        <r>
          <rPr>
            <sz val="9"/>
            <color indexed="81"/>
            <rFont val="Tahoma"/>
            <family val="2"/>
          </rPr>
          <t>Page 81 of PDF, 10-K</t>
        </r>
      </text>
    </comment>
    <comment ref="G29" authorId="0" shapeId="0" xr:uid="{DC2EAA53-F8FC-4DC6-A14C-5BFA1299B9BC}">
      <text>
        <r>
          <rPr>
            <b/>
            <sz val="9"/>
            <color indexed="81"/>
            <rFont val="Tahoma"/>
            <family val="2"/>
          </rPr>
          <t>rev4175:</t>
        </r>
        <r>
          <rPr>
            <sz val="9"/>
            <color indexed="81"/>
            <rFont val="Tahoma"/>
            <family val="2"/>
          </rPr>
          <t xml:space="preserve">
12/29/2023 Close</t>
        </r>
      </text>
    </comment>
    <comment ref="H29" authorId="2" shapeId="0" xr:uid="{1662DEED-49A9-4FE7-AA73-B3D59ED5B0B5}">
      <text>
        <r>
          <rPr>
            <sz val="9"/>
            <color indexed="81"/>
            <rFont val="Tahoma"/>
            <family val="2"/>
          </rPr>
          <t>Page 45 of PDF, 10-K</t>
        </r>
      </text>
    </comment>
    <comment ref="J29" authorId="2" shapeId="0" xr:uid="{CA68409A-45DF-4F77-9CE0-CE019BCB4771}">
      <text>
        <r>
          <rPr>
            <sz val="9"/>
            <color indexed="81"/>
            <rFont val="Tahoma"/>
            <family val="2"/>
          </rPr>
          <t>Page 45 of PDF,  10-K</t>
        </r>
      </text>
    </comment>
    <comment ref="G30" authorId="0" shapeId="0" xr:uid="{A627FFBB-73AF-4844-BF95-E8A0AFCD56C9}">
      <text>
        <r>
          <rPr>
            <b/>
            <sz val="9"/>
            <color indexed="81"/>
            <rFont val="Tahoma"/>
            <family val="2"/>
          </rPr>
          <t>rev4175:</t>
        </r>
        <r>
          <rPr>
            <sz val="9"/>
            <color indexed="81"/>
            <rFont val="Tahoma"/>
            <family val="2"/>
          </rPr>
          <t xml:space="preserve">
12/29/2023 Close</t>
        </r>
      </text>
    </comment>
    <comment ref="H30" authorId="2" shapeId="0" xr:uid="{C8DA9AC8-9467-4BF1-A500-9BBE1FAE8776}">
      <text>
        <r>
          <rPr>
            <sz val="9"/>
            <color indexed="81"/>
            <rFont val="Tahoma"/>
            <family val="2"/>
          </rPr>
          <t xml:space="preserve">Page 51 of 10K
</t>
        </r>
      </text>
    </comment>
    <comment ref="J30" authorId="2" shapeId="0" xr:uid="{874ACB2F-A102-48FD-BECB-B67FF9B1C63C}">
      <text>
        <r>
          <rPr>
            <sz val="12"/>
            <color indexed="81"/>
            <rFont val="Tahoma"/>
            <family val="2"/>
          </rPr>
          <t>See 10K Page 51 of pdf</t>
        </r>
      </text>
    </comment>
    <comment ref="G31" authorId="0" shapeId="0" xr:uid="{1F33FDBD-85F6-4F5B-812F-73859089E6B1}">
      <text>
        <r>
          <rPr>
            <b/>
            <sz val="9"/>
            <color indexed="81"/>
            <rFont val="Tahoma"/>
            <family val="2"/>
          </rPr>
          <t>rev4175:</t>
        </r>
        <r>
          <rPr>
            <sz val="9"/>
            <color indexed="81"/>
            <rFont val="Tahoma"/>
            <family val="2"/>
          </rPr>
          <t xml:space="preserve">
12/29/2023 Close</t>
        </r>
      </text>
    </comment>
    <comment ref="H31" authorId="2" shapeId="0" xr:uid="{2A7B6565-0E54-45F6-9D13-B6324556982D}">
      <text>
        <r>
          <rPr>
            <sz val="9"/>
            <color indexed="81"/>
            <rFont val="Tahoma"/>
            <family val="2"/>
          </rPr>
          <t>Page 9
 of PDF, 10-Q</t>
        </r>
      </text>
    </comment>
    <comment ref="I31" authorId="2" shapeId="0" xr:uid="{11052306-E3DF-4892-ABDC-E2D1B6E7AD06}">
      <text>
        <r>
          <rPr>
            <sz val="9"/>
            <color indexed="81"/>
            <rFont val="Tahoma"/>
            <family val="2"/>
          </rPr>
          <t>Page 8 of 10-Q  Added Tempoary Equity of 16.2 Million</t>
        </r>
      </text>
    </comment>
    <comment ref="J31" authorId="2" shapeId="0" xr:uid="{DCC5C481-7273-4207-BE58-AB9B3FACBC87}">
      <text>
        <r>
          <rPr>
            <sz val="9"/>
            <color indexed="81"/>
            <rFont val="Tahoma"/>
            <family val="2"/>
          </rPr>
          <t>Page 9 of PDF, 10-Q</t>
        </r>
      </text>
    </comment>
    <comment ref="G32" authorId="0" shapeId="0" xr:uid="{1BD703D6-15B6-45B7-9C00-5EB17CC3C6D2}">
      <text>
        <r>
          <rPr>
            <b/>
            <sz val="9"/>
            <color indexed="81"/>
            <rFont val="Tahoma"/>
            <family val="2"/>
          </rPr>
          <t>rev4175:</t>
        </r>
        <r>
          <rPr>
            <sz val="9"/>
            <color indexed="81"/>
            <rFont val="Tahoma"/>
            <family val="2"/>
          </rPr>
          <t xml:space="preserve">
12/29/2023 Close</t>
        </r>
      </text>
    </comment>
    <comment ref="H32" authorId="2" shapeId="0" xr:uid="{5D5B37C1-CD8C-4D08-AA99-22F92CE3AF50}">
      <text>
        <r>
          <rPr>
            <sz val="9"/>
            <color indexed="81"/>
            <rFont val="Tahoma"/>
            <family val="2"/>
          </rPr>
          <t>Page 100 of PDF, 10-K</t>
        </r>
      </text>
    </comment>
    <comment ref="I32" authorId="2" shapeId="0" xr:uid="{68282116-270B-4456-A7AA-BD3321BE35D9}">
      <text>
        <r>
          <rPr>
            <sz val="9"/>
            <color indexed="81"/>
            <rFont val="Tahoma"/>
            <family val="2"/>
          </rPr>
          <t>Page 100 of PDF, 10-K</t>
        </r>
      </text>
    </comment>
    <comment ref="J32" authorId="2" shapeId="0" xr:uid="{22D8C154-214D-4318-9C28-8C84A07284A5}">
      <text>
        <r>
          <rPr>
            <sz val="9"/>
            <color indexed="81"/>
            <rFont val="Tahoma"/>
            <family val="2"/>
          </rPr>
          <t>Page 100 of PDF, 10-K</t>
        </r>
      </text>
    </comment>
    <comment ref="F38" authorId="4" shapeId="0" xr:uid="{CEF678F7-6580-4CF3-AC8E-A803AFF27478}">
      <text>
        <r>
          <rPr>
            <b/>
            <sz val="11"/>
            <color indexed="81"/>
            <rFont val="Tahoma"/>
            <family val="2"/>
          </rPr>
          <t>rev3569:</t>
        </r>
        <r>
          <rPr>
            <sz val="11"/>
            <color indexed="81"/>
            <rFont val="Tahoma"/>
            <family val="2"/>
          </rPr>
          <t xml:space="preserve">
identify present value in 10K</t>
        </r>
      </text>
    </comment>
    <comment ref="F42" authorId="5" shapeId="0" xr:uid="{3D3F4948-3384-4C88-883E-791B53177A08}">
      <text>
        <r>
          <rPr>
            <b/>
            <sz val="9"/>
            <color indexed="81"/>
            <rFont val="Tahoma"/>
            <family val="2"/>
          </rPr>
          <t>Rev4175(DOR):</t>
        </r>
        <r>
          <rPr>
            <sz val="9"/>
            <color indexed="81"/>
            <rFont val="Tahoma"/>
            <family val="2"/>
          </rPr>
          <t xml:space="preserve">
10K Page 56 of pdf operatinglease cost 9/30/2023</t>
        </r>
      </text>
    </comment>
    <comment ref="G42" authorId="6" shapeId="0" xr:uid="{2D1891CD-62B5-4C19-934A-4F9B34D9C9CE}">
      <text>
        <r>
          <rPr>
            <b/>
            <sz val="9"/>
            <color indexed="81"/>
            <rFont val="Tahoma"/>
            <family val="2"/>
          </rPr>
          <t>rev4279:</t>
        </r>
        <r>
          <rPr>
            <sz val="9"/>
            <color indexed="81"/>
            <rFont val="Tahoma"/>
            <family val="2"/>
          </rPr>
          <t xml:space="preserve">
4TH QUARTER 10Q PG 20 FAIR VALUE MEASURMENTS page 21 of pdf</t>
        </r>
      </text>
    </comment>
    <comment ref="G43" authorId="1" shapeId="0" xr:uid="{399EB010-0275-4B50-9F63-3436C32883F8}">
      <text>
        <r>
          <rPr>
            <sz val="9"/>
            <color indexed="81"/>
            <rFont val="Tahoma"/>
            <family val="2"/>
          </rPr>
          <t>Page 89 of PDF, 10-K NOTE 10 FAIR VALUE MEASURMENTS</t>
        </r>
      </text>
    </comment>
    <comment ref="F44" authorId="5" shapeId="0" xr:uid="{22648236-03BA-432E-B63D-199BFB2DE61A}">
      <text>
        <r>
          <rPr>
            <b/>
            <sz val="9"/>
            <color indexed="81"/>
            <rFont val="Tahoma"/>
            <family val="2"/>
          </rPr>
          <t>REV 4175 (DOR):</t>
        </r>
        <r>
          <rPr>
            <sz val="9"/>
            <color indexed="81"/>
            <rFont val="Tahoma"/>
            <family val="2"/>
          </rPr>
          <t xml:space="preserve">
See 10K  page 180 of pdf
</t>
        </r>
      </text>
    </comment>
    <comment ref="G44" authorId="1" shapeId="0" xr:uid="{14A0BF45-AF2D-4B6C-8C7D-68A0473FC3CD}">
      <text>
        <r>
          <rPr>
            <sz val="9"/>
            <color indexed="81"/>
            <rFont val="Tahoma"/>
            <family val="2"/>
          </rPr>
          <t>Page 152
 of PDF, 10-K
NOTE 10 FAIR VALUE MEASURMENTS</t>
        </r>
      </text>
    </comment>
    <comment ref="F45" authorId="5" shapeId="0" xr:uid="{650E24E1-EDDC-4493-9D2D-AFC51EF64350}">
      <text>
        <r>
          <rPr>
            <b/>
            <sz val="9"/>
            <color indexed="81"/>
            <rFont val="Tahoma"/>
            <family val="2"/>
          </rPr>
          <t>Baker, Mike A (DOR):</t>
        </r>
        <r>
          <rPr>
            <sz val="9"/>
            <color indexed="81"/>
            <rFont val="Tahoma"/>
            <family val="2"/>
          </rPr>
          <t xml:space="preserve">
 See 10K page 199 of PDF</t>
        </r>
      </text>
    </comment>
    <comment ref="G45" authorId="1" shapeId="0" xr:uid="{E081129B-9F2F-4997-B95C-75CEC0F39689}">
      <text>
        <r>
          <rPr>
            <sz val="9"/>
            <color indexed="81"/>
            <rFont val="Tahoma"/>
            <family val="2"/>
          </rPr>
          <t>Page 190 of 10K PDF
NOTE 6 FINANCIAL INSTRUMENTS</t>
        </r>
      </text>
    </comment>
    <comment ref="F46" authorId="5" shapeId="0" xr:uid="{6DB1DCA6-B39D-4F5C-A1F8-4388FE7A5744}">
      <text>
        <r>
          <rPr>
            <b/>
            <sz val="9"/>
            <color indexed="81"/>
            <rFont val="Tahoma"/>
            <family val="2"/>
          </rPr>
          <t>REV4175:
10Q Page 9 of pdf</t>
        </r>
      </text>
    </comment>
    <comment ref="G46" authorId="1" shapeId="0" xr:uid="{34B901A5-33C6-4A4B-8190-1DC61406256C}">
      <text>
        <r>
          <rPr>
            <sz val="9"/>
            <color indexed="81"/>
            <rFont val="Tahoma"/>
            <family val="2"/>
          </rPr>
          <t>REV4175
10Q Page 25</t>
        </r>
      </text>
    </comment>
    <comment ref="F47" authorId="5" shapeId="0" xr:uid="{604E6012-8251-4652-852D-892C8D06D39B}">
      <text>
        <r>
          <rPr>
            <b/>
            <sz val="9"/>
            <color indexed="81"/>
            <rFont val="Tahoma"/>
            <family val="2"/>
          </rPr>
          <t>REV4175
10K page 112 of pdf</t>
        </r>
      </text>
    </comment>
    <comment ref="G47" authorId="1" shapeId="0" xr:uid="{B350ECAF-9700-4527-AEFA-8C7890EE76E4}">
      <text>
        <r>
          <rPr>
            <sz val="9"/>
            <color indexed="81"/>
            <rFont val="Tahoma"/>
            <family val="2"/>
          </rPr>
          <t>REV4175
10Q Page 25</t>
        </r>
      </text>
    </comment>
    <comment ref="F48" authorId="5" shapeId="0" xr:uid="{EE6D86EB-C425-4ACC-8B52-BBA9DB004643}">
      <text>
        <r>
          <rPr>
            <b/>
            <sz val="9"/>
            <color indexed="81"/>
            <rFont val="Tahoma"/>
            <family val="2"/>
          </rPr>
          <t>Baker, Mike A (DOR):</t>
        </r>
        <r>
          <rPr>
            <sz val="9"/>
            <color indexed="81"/>
            <rFont val="Tahoma"/>
            <family val="2"/>
          </rPr>
          <t xml:space="preserve">
See page 106</t>
        </r>
      </text>
    </comment>
    <comment ref="G48" authorId="5" shapeId="0" xr:uid="{AE73D319-6048-42F1-884E-5C259A9D92E5}">
      <text>
        <r>
          <rPr>
            <b/>
            <sz val="9"/>
            <color indexed="81"/>
            <rFont val="Tahoma"/>
            <family val="2"/>
          </rPr>
          <t>REV4175(DOR):</t>
        </r>
        <r>
          <rPr>
            <sz val="9"/>
            <color indexed="81"/>
            <rFont val="Tahoma"/>
            <family val="2"/>
          </rPr>
          <t xml:space="preserve">
See 10K page 114
</t>
        </r>
      </text>
    </comment>
    <comment ref="F49" authorId="5" shapeId="0" xr:uid="{20281039-EF35-4C62-8164-6BA175B6C418}">
      <text>
        <r>
          <rPr>
            <b/>
            <sz val="9"/>
            <color indexed="81"/>
            <rFont val="Tahoma"/>
            <family val="2"/>
          </rPr>
          <t>REV4175(DOR):</t>
        </r>
        <r>
          <rPr>
            <sz val="9"/>
            <color indexed="81"/>
            <rFont val="Tahoma"/>
            <family val="2"/>
          </rPr>
          <t xml:space="preserve">
See page 60
</t>
        </r>
      </text>
    </comment>
    <comment ref="G49" authorId="7" shapeId="0" xr:uid="{FFC7F4A7-FB3E-4AEA-B8BF-E8A827A168BA}">
      <text>
        <r>
          <rPr>
            <sz val="9"/>
            <color indexed="81"/>
            <rFont val="Tahoma"/>
            <family val="2"/>
          </rPr>
          <t>Page 80
 of PDF, 10-K</t>
        </r>
      </text>
    </comment>
    <comment ref="F50" authorId="5" shapeId="0" xr:uid="{EFD497B5-BEBC-4D1F-9F9D-34AB7F0DF4F5}">
      <text>
        <r>
          <rPr>
            <b/>
            <sz val="9"/>
            <color indexed="81"/>
            <rFont val="Tahoma"/>
            <family val="2"/>
          </rPr>
          <t>REV4175(DOR):</t>
        </r>
        <r>
          <rPr>
            <sz val="9"/>
            <color indexed="81"/>
            <rFont val="Tahoma"/>
            <family val="2"/>
          </rPr>
          <t xml:space="preserve">
See page 71 of pdf 10K</t>
        </r>
      </text>
    </comment>
    <comment ref="G50" authorId="7" shapeId="0" xr:uid="{4A92EA15-2C85-4D9B-B755-51F95EBD9872}">
      <text>
        <r>
          <rPr>
            <sz val="9"/>
            <color indexed="81"/>
            <rFont val="Tahoma"/>
            <family val="2"/>
          </rPr>
          <t>Page 80
 of PDF, 10-K</t>
        </r>
      </text>
    </comment>
    <comment ref="G51" authorId="7" shapeId="0" xr:uid="{52762479-3B85-4CB1-A882-B7BAA649316A}">
      <text>
        <r>
          <rPr>
            <sz val="9"/>
            <color indexed="81"/>
            <rFont val="Tahoma"/>
            <family val="2"/>
          </rPr>
          <t>Page 80
 of PDF, 10-K</t>
        </r>
      </text>
    </comment>
    <comment ref="F52" authorId="5" shapeId="0" xr:uid="{2BF98C43-4823-4D18-B59A-A46B76E60AF2}">
      <text>
        <r>
          <rPr>
            <b/>
            <sz val="9"/>
            <color indexed="81"/>
            <rFont val="Tahoma"/>
            <family val="2"/>
          </rPr>
          <t xml:space="preserve">REV4175(DOR): See 10K page 140 of pdf
</t>
        </r>
        <r>
          <rPr>
            <sz val="9"/>
            <color indexed="81"/>
            <rFont val="Tahoma"/>
            <family val="2"/>
          </rPr>
          <t xml:space="preserve">
</t>
        </r>
      </text>
    </comment>
    <comment ref="G52" authorId="7" shapeId="0" xr:uid="{A69C4C38-894C-45BE-BC7C-232D28FF8914}">
      <text>
        <r>
          <rPr>
            <sz val="9"/>
            <color indexed="81"/>
            <rFont val="Tahoma"/>
            <family val="2"/>
          </rPr>
          <t>Page 144 of pdf 10-K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E22" authorId="0" shapeId="0" xr:uid="{7A46F26C-41D2-490C-900E-20581B605D4A}">
      <text>
        <r>
          <rPr>
            <b/>
            <sz val="9"/>
            <color indexed="81"/>
            <rFont val="Tahoma"/>
            <family val="2"/>
          </rPr>
          <t>Rev4175 (DOR):</t>
        </r>
        <r>
          <rPr>
            <sz val="9"/>
            <color indexed="81"/>
            <rFont val="Tahoma"/>
            <family val="2"/>
          </rPr>
          <t xml:space="preserve">
See 10Q page 3</t>
        </r>
      </text>
    </comment>
    <comment ref="E23" authorId="0" shapeId="0" xr:uid="{CFE0CD12-5DB5-4AC0-87E6-60C57D2B8AB5}">
      <text>
        <r>
          <rPr>
            <b/>
            <sz val="9"/>
            <color indexed="81"/>
            <rFont val="Tahoma"/>
            <family val="2"/>
          </rPr>
          <t>Baker, Mike A (DOR):See 10K page 63</t>
        </r>
        <r>
          <rPr>
            <sz val="9"/>
            <color indexed="81"/>
            <rFont val="Tahoma"/>
            <family val="2"/>
          </rPr>
          <t xml:space="preserve">
</t>
        </r>
      </text>
    </comment>
    <comment ref="E24" authorId="0" shapeId="0" xr:uid="{B9AD744F-1000-438F-A0E7-716F1479E3FA}">
      <text>
        <r>
          <rPr>
            <b/>
            <sz val="9"/>
            <color indexed="81"/>
            <rFont val="Tahoma"/>
            <family val="2"/>
          </rPr>
          <t>REV4175</t>
        </r>
        <r>
          <rPr>
            <sz val="9"/>
            <color indexed="81"/>
            <rFont val="Tahoma"/>
            <family val="2"/>
          </rPr>
          <t xml:space="preserve">
See 10K page 107</t>
        </r>
      </text>
    </comment>
    <comment ref="E25" authorId="0" shapeId="0" xr:uid="{D8551BD9-D8CD-4F92-9E5F-2B2B9BC3F136}">
      <text>
        <r>
          <rPr>
            <b/>
            <sz val="9"/>
            <color indexed="81"/>
            <rFont val="Tahoma"/>
            <family val="2"/>
          </rPr>
          <t>REV4175 (DOR):</t>
        </r>
        <r>
          <rPr>
            <sz val="9"/>
            <color indexed="81"/>
            <rFont val="Tahoma"/>
            <family val="2"/>
          </rPr>
          <t xml:space="preserve">
See 10K page 140 OF PDF
</t>
        </r>
      </text>
    </comment>
    <comment ref="E26" authorId="0" shapeId="0" xr:uid="{8720E851-EBF2-4F7A-961E-496EAF9FF60A}">
      <text>
        <r>
          <rPr>
            <b/>
            <sz val="9"/>
            <color indexed="81"/>
            <rFont val="Tahoma"/>
            <family val="2"/>
          </rPr>
          <t>rev4175(DOR):See 10q page9 OF PDF</t>
        </r>
        <r>
          <rPr>
            <sz val="9"/>
            <color indexed="81"/>
            <rFont val="Tahoma"/>
            <family val="2"/>
          </rPr>
          <t xml:space="preserve">
</t>
        </r>
      </text>
    </comment>
    <comment ref="E27" authorId="0" shapeId="0" xr:uid="{8689DABC-DC49-41AA-8B85-66DF48E828BB}">
      <text>
        <r>
          <rPr>
            <b/>
            <sz val="9"/>
            <color indexed="81"/>
            <rFont val="Tahoma"/>
            <family val="2"/>
          </rPr>
          <t>rev4175(DOR):</t>
        </r>
        <r>
          <rPr>
            <sz val="9"/>
            <color indexed="81"/>
            <rFont val="Tahoma"/>
            <family val="2"/>
          </rPr>
          <t xml:space="preserve">
See 10K page 64 OF PDF</t>
        </r>
      </text>
    </comment>
    <comment ref="E28" authorId="0" shapeId="0" xr:uid="{2BBA1033-2FBA-459E-BCBB-60678EE0B25B}">
      <text>
        <r>
          <rPr>
            <b/>
            <sz val="9"/>
            <color indexed="81"/>
            <rFont val="Tahoma"/>
            <family val="2"/>
          </rPr>
          <t xml:space="preserve">Baker, Mike A (DOR): See 10K page 81
</t>
        </r>
        <r>
          <rPr>
            <sz val="9"/>
            <color indexed="81"/>
            <rFont val="Tahoma"/>
            <family val="2"/>
          </rPr>
          <t xml:space="preserve">
</t>
        </r>
      </text>
    </comment>
    <comment ref="E29" authorId="0" shapeId="0" xr:uid="{CAEBCAAB-4FCB-485B-AB0A-366F05AE6B36}">
      <text>
        <r>
          <rPr>
            <b/>
            <sz val="9"/>
            <color indexed="81"/>
            <rFont val="Tahoma"/>
            <family val="2"/>
          </rPr>
          <t>Baker, Mike A (DOR):</t>
        </r>
        <r>
          <rPr>
            <sz val="9"/>
            <color indexed="81"/>
            <rFont val="Tahoma"/>
            <family val="2"/>
          </rPr>
          <t xml:space="preserve">
See page 45</t>
        </r>
      </text>
    </comment>
    <comment ref="E30" authorId="0" shapeId="0" xr:uid="{F2BCAC92-0E6E-45CC-9539-AF5ECE3B833C}">
      <text>
        <r>
          <rPr>
            <b/>
            <sz val="9"/>
            <color indexed="81"/>
            <rFont val="Tahoma"/>
            <family val="2"/>
          </rPr>
          <t>rev4175 (DOR): See 10K Page PAGE  56 of pdf</t>
        </r>
        <r>
          <rPr>
            <sz val="9"/>
            <color indexed="81"/>
            <rFont val="Tahoma"/>
            <family val="2"/>
          </rPr>
          <t xml:space="preserve">
</t>
        </r>
      </text>
    </comment>
    <comment ref="E31" authorId="0" shapeId="0" xr:uid="{AA798E61-8E50-4707-9974-E37CC4F206E1}">
      <text>
        <r>
          <rPr>
            <b/>
            <sz val="9"/>
            <color indexed="81"/>
            <rFont val="Tahoma"/>
            <family val="2"/>
          </rPr>
          <t>Baker, Mike A (DOR):</t>
        </r>
        <r>
          <rPr>
            <sz val="9"/>
            <color indexed="81"/>
            <rFont val="Tahoma"/>
            <family val="2"/>
          </rPr>
          <t xml:space="preserve">
See 10K page 20</t>
        </r>
      </text>
    </comment>
    <comment ref="E32" authorId="0" shapeId="0" xr:uid="{004A9949-CE96-4322-B347-AC74B019D7D2}">
      <text>
        <r>
          <rPr>
            <b/>
            <sz val="9"/>
            <color indexed="81"/>
            <rFont val="Tahoma"/>
            <family val="2"/>
          </rPr>
          <t>Baker, Mike A (DOR):</t>
        </r>
        <r>
          <rPr>
            <sz val="9"/>
            <color indexed="81"/>
            <rFont val="Tahoma"/>
            <family val="2"/>
          </rPr>
          <t xml:space="preserve">
See 10K page 86-97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rev4175</author>
  </authors>
  <commentList>
    <comment ref="D20" authorId="0" shapeId="0" xr:uid="{5BE4D02A-E3DB-48D3-9058-12F19EE06AAE}">
      <text>
        <r>
          <rPr>
            <b/>
            <sz val="9"/>
            <color indexed="81"/>
            <rFont val="Tahoma"/>
            <family val="2"/>
          </rPr>
          <t>Baker, Mike A (DOR):</t>
        </r>
        <r>
          <rPr>
            <sz val="9"/>
            <color indexed="81"/>
            <rFont val="Tahoma"/>
            <family val="2"/>
          </rPr>
          <t xml:space="preserve">
See 10Q page 3</t>
        </r>
      </text>
    </comment>
    <comment ref="E20" authorId="0" shapeId="0" xr:uid="{88E0F369-C804-450A-A1CA-A0AD464C282E}">
      <text>
        <r>
          <rPr>
            <b/>
            <sz val="9"/>
            <color indexed="81"/>
            <rFont val="Tahoma"/>
            <family val="2"/>
          </rPr>
          <t>Baker, Mike A (DOR):</t>
        </r>
        <r>
          <rPr>
            <sz val="9"/>
            <color indexed="81"/>
            <rFont val="Tahoma"/>
            <family val="2"/>
          </rPr>
          <t xml:space="preserve">
See 10Q page 3</t>
        </r>
      </text>
    </comment>
    <comment ref="G20" authorId="0" shapeId="0" xr:uid="{31A98708-AEBE-4FAD-9325-30417F1AAF64}">
      <text>
        <r>
          <rPr>
            <b/>
            <sz val="9"/>
            <color indexed="81"/>
            <rFont val="Tahoma"/>
            <family val="2"/>
          </rPr>
          <t>Baker, Mike A (DOR):</t>
        </r>
        <r>
          <rPr>
            <sz val="9"/>
            <color indexed="81"/>
            <rFont val="Tahoma"/>
            <family val="2"/>
          </rPr>
          <t xml:space="preserve">
Add four quarters of data from 10Q</t>
        </r>
      </text>
    </comment>
    <comment ref="D21" authorId="0" shapeId="0" xr:uid="{E1DAD8C9-3C35-4BC0-AD34-AD2F1F7266FC}">
      <text>
        <r>
          <rPr>
            <b/>
            <sz val="9"/>
            <color indexed="81"/>
            <rFont val="Tahoma"/>
            <family val="2"/>
          </rPr>
          <t>REV4175 (DOR):</t>
        </r>
        <r>
          <rPr>
            <sz val="9"/>
            <color indexed="81"/>
            <rFont val="Tahoma"/>
            <family val="2"/>
          </rPr>
          <t xml:space="preserve">
10K page 62 of pdf</t>
        </r>
      </text>
    </comment>
    <comment ref="G21" authorId="0" shapeId="0" xr:uid="{390B3F29-75D2-4D69-A7C1-37EDD4697007}">
      <text>
        <r>
          <rPr>
            <b/>
            <sz val="9"/>
            <color indexed="81"/>
            <rFont val="Tahoma"/>
            <family val="2"/>
          </rPr>
          <t>Baker, Mike A (DOR):</t>
        </r>
        <r>
          <rPr>
            <sz val="9"/>
            <color indexed="81"/>
            <rFont val="Tahoma"/>
            <family val="2"/>
          </rPr>
          <t xml:space="preserve">
See 10K page 60 of pdf</t>
        </r>
      </text>
    </comment>
    <comment ref="E22" authorId="0" shapeId="0" xr:uid="{AAE97FDF-61F3-4BB1-913F-E8BBF7DA0BAE}">
      <text>
        <r>
          <rPr>
            <b/>
            <sz val="9"/>
            <color indexed="81"/>
            <rFont val="Tahoma"/>
            <family val="2"/>
          </rPr>
          <t>Baker, Mike A (DOR):</t>
        </r>
        <r>
          <rPr>
            <sz val="9"/>
            <color indexed="81"/>
            <rFont val="Tahoma"/>
            <family val="2"/>
          </rPr>
          <t xml:space="preserve">
See 10K page 108-119</t>
        </r>
      </text>
    </comment>
    <comment ref="G22" authorId="1" shapeId="0" xr:uid="{9E7FF422-7811-46E4-99D1-167E2582A288}">
      <text>
        <r>
          <rPr>
            <b/>
            <sz val="9"/>
            <color indexed="81"/>
            <rFont val="Tahoma"/>
            <family val="2"/>
          </rPr>
          <t>rev4175:</t>
        </r>
        <r>
          <rPr>
            <sz val="9"/>
            <color indexed="81"/>
            <rFont val="Tahoma"/>
            <family val="2"/>
          </rPr>
          <t xml:space="preserve">
10K Page 97</t>
        </r>
      </text>
    </comment>
    <comment ref="E23" authorId="0" shapeId="0" xr:uid="{A9438170-2EBA-402A-9BFB-7B4746040E1A}">
      <text>
        <r>
          <rPr>
            <b/>
            <sz val="9"/>
            <color indexed="81"/>
            <rFont val="Tahoma"/>
            <family val="2"/>
          </rPr>
          <t>Baker, Mike A (DOR):</t>
        </r>
        <r>
          <rPr>
            <sz val="9"/>
            <color indexed="81"/>
            <rFont val="Tahoma"/>
            <family val="2"/>
          </rPr>
          <t xml:space="preserve">
See 10K page 108-119</t>
        </r>
      </text>
    </comment>
    <comment ref="G23" authorId="1" shapeId="0" xr:uid="{E4919018-D329-41FF-B587-795A4E753258}">
      <text>
        <r>
          <rPr>
            <b/>
            <sz val="9"/>
            <color indexed="81"/>
            <rFont val="Tahoma"/>
            <family val="2"/>
          </rPr>
          <t>rev4175:</t>
        </r>
        <r>
          <rPr>
            <sz val="9"/>
            <color indexed="81"/>
            <rFont val="Tahoma"/>
            <family val="2"/>
          </rPr>
          <t xml:space="preserve">
10K Page 102</t>
        </r>
      </text>
    </comment>
    <comment ref="D24" authorId="0" shapeId="0" xr:uid="{87E7FD60-00C1-4E8F-9114-557ACCEE9746}">
      <text>
        <r>
          <rPr>
            <b/>
            <sz val="9"/>
            <color indexed="81"/>
            <rFont val="Tahoma"/>
            <family val="2"/>
          </rPr>
          <t>Baker, Mike A (DOR):</t>
        </r>
        <r>
          <rPr>
            <sz val="9"/>
            <color indexed="81"/>
            <rFont val="Tahoma"/>
            <family val="2"/>
          </rPr>
          <t xml:space="preserve">
See 10Q page 8 PDF</t>
        </r>
      </text>
    </comment>
    <comment ref="E24" authorId="0" shapeId="0" xr:uid="{40115298-409C-49F1-84D9-C5A60D8074CF}">
      <text>
        <r>
          <rPr>
            <b/>
            <sz val="9"/>
            <color indexed="81"/>
            <rFont val="Tahoma"/>
            <family val="2"/>
          </rPr>
          <t>Baker, Mike A (DOR):</t>
        </r>
        <r>
          <rPr>
            <sz val="9"/>
            <color indexed="81"/>
            <rFont val="Tahoma"/>
            <family val="2"/>
          </rPr>
          <t xml:space="preserve">
2021 10Q page 6</t>
        </r>
      </text>
    </comment>
    <comment ref="G24" authorId="0" shapeId="0" xr:uid="{F3A927E4-C6C5-4855-9815-F5A78127B098}">
      <text>
        <r>
          <rPr>
            <b/>
            <sz val="9"/>
            <color indexed="81"/>
            <rFont val="Tahoma"/>
            <family val="2"/>
          </rPr>
          <t>Baker, Mike A (DOR):</t>
        </r>
        <r>
          <rPr>
            <sz val="9"/>
            <color indexed="81"/>
            <rFont val="Tahoma"/>
            <family val="2"/>
          </rPr>
          <t xml:space="preserve">
Added &amp; substract 10Q data from 10K to get year end value</t>
        </r>
      </text>
    </comment>
    <comment ref="D25" authorId="0" shapeId="0" xr:uid="{82E9ED39-134A-4494-973D-78B595269EED}">
      <text>
        <r>
          <rPr>
            <b/>
            <sz val="9"/>
            <color indexed="81"/>
            <rFont val="Tahoma"/>
            <family val="2"/>
          </rPr>
          <t>Baker, Mike A (DOR):</t>
        </r>
        <r>
          <rPr>
            <sz val="9"/>
            <color indexed="81"/>
            <rFont val="Tahoma"/>
            <family val="2"/>
          </rPr>
          <t xml:space="preserve">
See 10K page 63 of pdf</t>
        </r>
      </text>
    </comment>
    <comment ref="E25" authorId="0" shapeId="0" xr:uid="{20621392-6542-46F5-B814-0407384530A8}">
      <text>
        <r>
          <rPr>
            <b/>
            <sz val="9"/>
            <color indexed="81"/>
            <rFont val="Tahoma"/>
            <family val="2"/>
          </rPr>
          <t>Baker, Mike A (DOR):</t>
        </r>
        <r>
          <rPr>
            <sz val="9"/>
            <color indexed="81"/>
            <rFont val="Tahoma"/>
            <family val="2"/>
          </rPr>
          <t xml:space="preserve">
See 10K page 63 of pdf</t>
        </r>
      </text>
    </comment>
    <comment ref="G25" authorId="0" shapeId="0" xr:uid="{83C38C7D-3BF5-41F1-8B47-0A84B3E25537}">
      <text>
        <r>
          <rPr>
            <b/>
            <sz val="9"/>
            <color indexed="81"/>
            <rFont val="Tahoma"/>
            <family val="2"/>
          </rPr>
          <t>Baker, Mike A (DOR):</t>
        </r>
        <r>
          <rPr>
            <sz val="9"/>
            <color indexed="81"/>
            <rFont val="Tahoma"/>
            <family val="2"/>
          </rPr>
          <t xml:space="preserve">
See 10K page58</t>
        </r>
      </text>
    </comment>
    <comment ref="D26" authorId="0" shapeId="0" xr:uid="{455B4B1F-6693-4D30-8594-6EDD8ABD7730}">
      <text>
        <r>
          <rPr>
            <b/>
            <sz val="9"/>
            <color indexed="81"/>
            <rFont val="Tahoma"/>
            <family val="2"/>
          </rPr>
          <t>Baker, Mike A (DOR):</t>
        </r>
        <r>
          <rPr>
            <sz val="9"/>
            <color indexed="81"/>
            <rFont val="Tahoma"/>
            <family val="2"/>
          </rPr>
          <t xml:space="preserve">
See 10K page 80 of pdf</t>
        </r>
      </text>
    </comment>
    <comment ref="E26" authorId="0" shapeId="0" xr:uid="{A1022353-E703-49C2-BADD-3BB9602DE238}">
      <text>
        <r>
          <rPr>
            <b/>
            <sz val="9"/>
            <color indexed="81"/>
            <rFont val="Tahoma"/>
            <family val="2"/>
          </rPr>
          <t>Baker, Mike A (DOR):</t>
        </r>
        <r>
          <rPr>
            <sz val="9"/>
            <color indexed="81"/>
            <rFont val="Tahoma"/>
            <family val="2"/>
          </rPr>
          <t xml:space="preserve">
See 10K page 79</t>
        </r>
      </text>
    </comment>
    <comment ref="G26" authorId="0" shapeId="0" xr:uid="{4FC92985-2D10-4641-88B7-D0D2117D8C27}">
      <text>
        <r>
          <rPr>
            <b/>
            <sz val="9"/>
            <color indexed="81"/>
            <rFont val="Tahoma"/>
            <family val="2"/>
          </rPr>
          <t>Baker, Mike A (DOR):</t>
        </r>
        <r>
          <rPr>
            <sz val="9"/>
            <color indexed="81"/>
            <rFont val="Tahoma"/>
            <family val="2"/>
          </rPr>
          <t xml:space="preserve">
See 10K page 72</t>
        </r>
      </text>
    </comment>
    <comment ref="D27" authorId="0" shapeId="0" xr:uid="{5C7E79B9-8AEE-43FA-830D-EFFB70BCCE0A}">
      <text>
        <r>
          <rPr>
            <b/>
            <sz val="9"/>
            <color indexed="81"/>
            <rFont val="Tahoma"/>
            <family val="2"/>
          </rPr>
          <t xml:space="preserve">Rev4175 
10K page 44 of pdf </t>
        </r>
      </text>
    </comment>
    <comment ref="E27" authorId="0" shapeId="0" xr:uid="{8B7E940D-5A91-468A-8456-7C2D2B29C6C2}">
      <text>
        <r>
          <rPr>
            <b/>
            <sz val="9"/>
            <color indexed="81"/>
            <rFont val="Tahoma"/>
            <family val="2"/>
          </rPr>
          <t>Rev4175 10K page 51 of pdf plant plus CWIP</t>
        </r>
      </text>
    </comment>
    <comment ref="G27" authorId="0" shapeId="0" xr:uid="{B24CF225-68D1-4561-8AC6-C2A10AC420B7}">
      <text>
        <r>
          <rPr>
            <b/>
            <sz val="9"/>
            <color indexed="81"/>
            <rFont val="Tahoma"/>
            <family val="2"/>
          </rPr>
          <t>rev4175(DOR):</t>
        </r>
        <r>
          <rPr>
            <sz val="9"/>
            <color indexed="81"/>
            <rFont val="Tahoma"/>
            <family val="2"/>
          </rPr>
          <t xml:space="preserve">
See 10K page 42 of pdf</t>
        </r>
      </text>
    </comment>
    <comment ref="D28" authorId="0" shapeId="0" xr:uid="{246A3580-CE18-4664-9A7C-14880BF9B1AE}">
      <text>
        <r>
          <rPr>
            <b/>
            <sz val="9"/>
            <color indexed="81"/>
            <rFont val="Tahoma"/>
            <family val="2"/>
          </rPr>
          <t>Rev4175 10K page 51 of pdf plant plus CWIP</t>
        </r>
      </text>
    </comment>
    <comment ref="G28" authorId="0" shapeId="0" xr:uid="{6FEC2EB3-EEC4-4FB0-B6CE-DA1BD69DF413}">
      <text>
        <r>
          <rPr>
            <b/>
            <sz val="9"/>
            <color indexed="81"/>
            <rFont val="Tahoma"/>
            <family val="2"/>
          </rPr>
          <t>rev4175(DOR):</t>
        </r>
        <r>
          <rPr>
            <sz val="9"/>
            <color indexed="81"/>
            <rFont val="Tahoma"/>
            <family val="2"/>
          </rPr>
          <t xml:space="preserve">
See 10K page 52 of pdf</t>
        </r>
      </text>
    </comment>
    <comment ref="D29" authorId="0" shapeId="0" xr:uid="{CF4F7C52-D157-4CCD-A67D-7E79BDA66687}">
      <text>
        <r>
          <rPr>
            <b/>
            <sz val="9"/>
            <color indexed="81"/>
            <rFont val="Tahoma"/>
            <family val="2"/>
          </rPr>
          <t>Baker, Mike A (DOR):</t>
        </r>
        <r>
          <rPr>
            <sz val="9"/>
            <color indexed="81"/>
            <rFont val="Tahoma"/>
            <family val="2"/>
          </rPr>
          <t xml:space="preserve">
See 10Q page 8 of pdf</t>
        </r>
      </text>
    </comment>
    <comment ref="G29" authorId="0" shapeId="0" xr:uid="{2DC5BCAA-112F-4283-93AE-57DB7F34929C}">
      <text>
        <r>
          <rPr>
            <b/>
            <sz val="9"/>
            <color indexed="81"/>
            <rFont val="Tahoma"/>
            <family val="2"/>
          </rPr>
          <t>REV4175 (DOR):</t>
        </r>
        <r>
          <rPr>
            <sz val="9"/>
            <color indexed="81"/>
            <rFont val="Tahoma"/>
            <family val="2"/>
          </rPr>
          <t xml:space="preserve">
10q added for 4 quarters
</t>
        </r>
      </text>
    </comment>
    <comment ref="D30" authorId="0" shapeId="0" xr:uid="{641307CB-0CD9-471C-BBAA-239FB69581CF}">
      <text>
        <r>
          <rPr>
            <b/>
            <sz val="9"/>
            <color indexed="81"/>
            <rFont val="Tahoma"/>
            <family val="2"/>
          </rPr>
          <t>REV4175 (DOR):</t>
        </r>
        <r>
          <rPr>
            <sz val="9"/>
            <color indexed="81"/>
            <rFont val="Tahoma"/>
            <family val="2"/>
          </rPr>
          <t xml:space="preserve">
See 10K page 100 of pdf</t>
        </r>
      </text>
    </comment>
    <comment ref="E30" authorId="0" shapeId="0" xr:uid="{874AC598-1FE7-4853-89AF-72604A8148C0}">
      <text>
        <r>
          <rPr>
            <b/>
            <sz val="9"/>
            <color indexed="81"/>
            <rFont val="Tahoma"/>
            <family val="2"/>
          </rPr>
          <t>Baker, Mike A (DOR):</t>
        </r>
        <r>
          <rPr>
            <sz val="9"/>
            <color indexed="81"/>
            <rFont val="Tahoma"/>
            <family val="2"/>
          </rPr>
          <t xml:space="preserve">
See 10K page 111-123</t>
        </r>
      </text>
    </comment>
    <comment ref="G30" authorId="0" shapeId="0" xr:uid="{C17253CC-1975-4DD7-A552-AA7E6DB17749}">
      <text>
        <r>
          <rPr>
            <b/>
            <sz val="9"/>
            <color indexed="81"/>
            <rFont val="Tahoma"/>
            <family val="2"/>
          </rPr>
          <t>Baker, Mike A (DOR):</t>
        </r>
        <r>
          <rPr>
            <sz val="9"/>
            <color indexed="81"/>
            <rFont val="Tahoma"/>
            <family val="2"/>
          </rPr>
          <t xml:space="preserve">
See 10K page 84-95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rev4175</author>
    <author>Baker, Mike A (DOR)</author>
  </authors>
  <commentList>
    <comment ref="C19" authorId="0" shapeId="0" xr:uid="{502A1AD3-099A-4B37-894C-2EA77710FA0C}">
      <text>
        <r>
          <rPr>
            <b/>
            <sz val="9"/>
            <color indexed="81"/>
            <rFont val="Tahoma"/>
            <charset val="1"/>
          </rPr>
          <t>rev4175:</t>
        </r>
        <r>
          <rPr>
            <sz val="9"/>
            <color indexed="81"/>
            <rFont val="Tahoma"/>
            <charset val="1"/>
          </rPr>
          <t xml:space="preserve">
10K page 38 of pdf 9/30 plus 10Q page 4 of pdf minus 9/30/2022 10k amount</t>
        </r>
      </text>
    </comment>
    <comment ref="D19" authorId="1" shapeId="0" xr:uid="{F665B49A-4B52-481E-A2E7-AF200576B2D2}">
      <text>
        <r>
          <rPr>
            <b/>
            <sz val="9"/>
            <color indexed="81"/>
            <rFont val="Tahoma"/>
            <family val="2"/>
          </rPr>
          <t>Baker, Mike A (DOR):</t>
        </r>
        <r>
          <rPr>
            <sz val="9"/>
            <color indexed="81"/>
            <rFont val="Tahoma"/>
            <family val="2"/>
          </rPr>
          <t xml:space="preserve">
See page 21 of 10Q</t>
        </r>
      </text>
    </comment>
    <comment ref="C20" authorId="0" shapeId="0" xr:uid="{A7C6C2EF-7916-48A6-B5EC-3A179A2F5817}">
      <text>
        <r>
          <rPr>
            <b/>
            <sz val="9"/>
            <color indexed="81"/>
            <rFont val="Tahoma"/>
            <charset val="1"/>
          </rPr>
          <t>rev4175:</t>
        </r>
        <r>
          <rPr>
            <sz val="9"/>
            <color indexed="81"/>
            <rFont val="Tahoma"/>
            <charset val="1"/>
          </rPr>
          <t xml:space="preserve">
10K page 60 of pdf</t>
        </r>
      </text>
    </comment>
    <comment ref="C22" authorId="0" shapeId="0" xr:uid="{F48715A8-D959-4377-B31E-A537C1DCC7EB}">
      <text>
        <r>
          <rPr>
            <b/>
            <sz val="9"/>
            <color indexed="81"/>
            <rFont val="Tahoma"/>
            <charset val="1"/>
          </rPr>
          <t>rev4175:</t>
        </r>
        <r>
          <rPr>
            <sz val="9"/>
            <color indexed="81"/>
            <rFont val="Tahoma"/>
            <charset val="1"/>
          </rPr>
          <t xml:space="preserve">
10k income statemen</t>
        </r>
      </text>
    </comment>
    <comment ref="D23" authorId="1" shapeId="0" xr:uid="{EE6AEE1A-57CB-4A9E-BBD0-5489F78E3604}">
      <text>
        <r>
          <rPr>
            <b/>
            <sz val="9"/>
            <color indexed="81"/>
            <rFont val="Tahoma"/>
            <family val="2"/>
          </rPr>
          <t>Baker, Mike A (DOR):</t>
        </r>
        <r>
          <rPr>
            <sz val="9"/>
            <color indexed="81"/>
            <rFont val="Tahoma"/>
            <family val="2"/>
          </rPr>
          <t xml:space="preserve">
See page 20 10Q</t>
        </r>
      </text>
    </comment>
    <comment ref="C24" authorId="0" shapeId="0" xr:uid="{E0473060-1C28-4ECF-B667-90BC251C17AA}">
      <text>
        <r>
          <rPr>
            <b/>
            <sz val="9"/>
            <color indexed="81"/>
            <rFont val="Tahoma"/>
            <charset val="1"/>
          </rPr>
          <t>rev4175:</t>
        </r>
        <r>
          <rPr>
            <sz val="9"/>
            <color indexed="81"/>
            <rFont val="Tahoma"/>
            <charset val="1"/>
          </rPr>
          <t xml:space="preserve">
10k income statemen</t>
        </r>
      </text>
    </comment>
    <comment ref="D24" authorId="1" shapeId="0" xr:uid="{1471D6C6-96F8-416C-8AE9-952EA591A0DC}">
      <text>
        <r>
          <rPr>
            <b/>
            <sz val="9"/>
            <color indexed="81"/>
            <rFont val="Tahoma"/>
            <family val="2"/>
          </rPr>
          <t>Baker, Mike A (DOR):</t>
        </r>
        <r>
          <rPr>
            <sz val="9"/>
            <color indexed="81"/>
            <rFont val="Tahoma"/>
            <family val="2"/>
          </rPr>
          <t xml:space="preserve">
See 10K page 109</t>
        </r>
      </text>
    </comment>
    <comment ref="C25" authorId="0" shapeId="0" xr:uid="{9AF00B24-D4D3-418C-ABE8-01E956CD0E87}">
      <text>
        <r>
          <rPr>
            <b/>
            <sz val="9"/>
            <color indexed="81"/>
            <rFont val="Tahoma"/>
            <charset val="1"/>
          </rPr>
          <t>rev4175:</t>
        </r>
        <r>
          <rPr>
            <sz val="9"/>
            <color indexed="81"/>
            <rFont val="Tahoma"/>
            <charset val="1"/>
          </rPr>
          <t xml:space="preserve">
10k page 79 of pdf</t>
        </r>
      </text>
    </comment>
    <comment ref="D25" authorId="1" shapeId="0" xr:uid="{B229CF4E-FD1B-4FD0-9D28-2C28D5EFD5A2}">
      <text>
        <r>
          <rPr>
            <b/>
            <sz val="9"/>
            <color indexed="81"/>
            <rFont val="Tahoma"/>
            <family val="2"/>
          </rPr>
          <t>Baker, Mike A (DOR):</t>
        </r>
        <r>
          <rPr>
            <sz val="9"/>
            <color indexed="81"/>
            <rFont val="Tahoma"/>
            <family val="2"/>
          </rPr>
          <t xml:space="preserve">
See 10K page 111</t>
        </r>
      </text>
    </comment>
    <comment ref="E25" authorId="1" shapeId="0" xr:uid="{56EDB1B3-8F4D-409F-AAD7-41D802A8C7C7}">
      <text>
        <r>
          <rPr>
            <b/>
            <sz val="9"/>
            <color indexed="81"/>
            <rFont val="Tahoma"/>
            <family val="2"/>
          </rPr>
          <t>Baker, Mike A (DOR):</t>
        </r>
        <r>
          <rPr>
            <sz val="9"/>
            <color indexed="81"/>
            <rFont val="Tahoma"/>
            <family val="2"/>
          </rPr>
          <t xml:space="preserve">
See 10K page 80</t>
        </r>
      </text>
    </comment>
    <comment ref="C26" authorId="1" shapeId="0" xr:uid="{4192E0D3-F0FC-4F99-8EA0-8ADB1CBE5B41}">
      <text>
        <r>
          <rPr>
            <b/>
            <sz val="9"/>
            <color indexed="81"/>
            <rFont val="Tahoma"/>
            <family val="2"/>
          </rPr>
          <t>Baker, Mike A (DOR):</t>
        </r>
        <r>
          <rPr>
            <sz val="9"/>
            <color indexed="81"/>
            <rFont val="Tahoma"/>
            <family val="2"/>
          </rPr>
          <t xml:space="preserve">
See page 42 of 10K</t>
        </r>
      </text>
    </comment>
    <comment ref="E26" authorId="1" shapeId="0" xr:uid="{C1E4860B-58A7-4909-B56D-1CCD766B0500}">
      <text>
        <r>
          <rPr>
            <b/>
            <sz val="9"/>
            <color indexed="81"/>
            <rFont val="Tahoma"/>
            <family val="2"/>
          </rPr>
          <t>Baker, Mike A (DOR):</t>
        </r>
        <r>
          <rPr>
            <sz val="9"/>
            <color indexed="81"/>
            <rFont val="Tahoma"/>
            <family val="2"/>
          </rPr>
          <t xml:space="preserve">
See 10K page 45</t>
        </r>
      </text>
    </comment>
    <comment ref="C27" authorId="1" shapeId="0" xr:uid="{41A5193C-8E7F-4A9A-83CB-6678F7FE378A}">
      <text>
        <r>
          <rPr>
            <b/>
            <sz val="9"/>
            <color indexed="81"/>
            <rFont val="Tahoma"/>
            <family val="2"/>
          </rPr>
          <t>REV4175 (DOR):</t>
        </r>
        <r>
          <rPr>
            <sz val="9"/>
            <color indexed="81"/>
            <rFont val="Tahoma"/>
            <family val="2"/>
          </rPr>
          <t xml:space="preserve">
See 10K page 52 of pdf</t>
        </r>
      </text>
    </comment>
    <comment ref="D27" authorId="1" shapeId="0" xr:uid="{EA456A50-6596-411E-96A3-30FDF75FA9EE}">
      <text>
        <r>
          <rPr>
            <b/>
            <sz val="9"/>
            <color indexed="81"/>
            <rFont val="Tahoma"/>
            <family val="2"/>
          </rPr>
          <t>Baker, Mike A (DOR):</t>
        </r>
        <r>
          <rPr>
            <sz val="9"/>
            <color indexed="81"/>
            <rFont val="Tahoma"/>
            <family val="2"/>
          </rPr>
          <t xml:space="preserve">
See 10K page 55 &amp; 56 -- 330 &amp; 331</t>
        </r>
      </text>
    </comment>
    <comment ref="C28" authorId="1" shapeId="0" xr:uid="{0CFD26A8-B8EF-4378-8379-DF60FEA4D1E6}">
      <text>
        <r>
          <rPr>
            <b/>
            <sz val="9"/>
            <color indexed="81"/>
            <rFont val="Tahoma"/>
            <family val="2"/>
          </rPr>
          <t>Baker, Mike A (DOR):</t>
        </r>
        <r>
          <rPr>
            <sz val="9"/>
            <color indexed="81"/>
            <rFont val="Tahoma"/>
            <family val="2"/>
          </rPr>
          <t xml:space="preserve">
Add four qtrs of data or find an annual report ending dec 31   The 119.8 figures as of Sept
</t>
        </r>
      </text>
    </comment>
    <comment ref="D28" authorId="1" shapeId="0" xr:uid="{9CE06E10-EA9E-4619-B2E3-E73DA329443A}">
      <text>
        <r>
          <rPr>
            <b/>
            <sz val="9"/>
            <color indexed="81"/>
            <rFont val="Tahoma"/>
            <family val="2"/>
          </rPr>
          <t>Baker, Mike A (DOR):</t>
        </r>
        <r>
          <rPr>
            <sz val="9"/>
            <color indexed="81"/>
            <rFont val="Tahoma"/>
            <family val="2"/>
          </rPr>
          <t xml:space="preserve">
See 10Q page34-37</t>
        </r>
      </text>
    </comment>
    <comment ref="C29" authorId="0" shapeId="0" xr:uid="{BEDCBF96-C2C1-4008-BB7A-BCABD9190D97}">
      <text>
        <r>
          <rPr>
            <b/>
            <sz val="9"/>
            <color indexed="81"/>
            <rFont val="Tahoma"/>
            <charset val="1"/>
          </rPr>
          <t>rev4175:</t>
        </r>
        <r>
          <rPr>
            <sz val="9"/>
            <color indexed="81"/>
            <rFont val="Tahoma"/>
            <charset val="1"/>
          </rPr>
          <t xml:space="preserve">
10k page 98 of pdf</t>
        </r>
      </text>
    </comment>
    <comment ref="D29" authorId="1" shapeId="0" xr:uid="{505D14A9-6781-4279-A506-B3F23A4B0A0E}">
      <text>
        <r>
          <rPr>
            <b/>
            <sz val="9"/>
            <color indexed="81"/>
            <rFont val="Tahoma"/>
            <family val="2"/>
          </rPr>
          <t>Baker, Mike A (DOR):</t>
        </r>
        <r>
          <rPr>
            <sz val="9"/>
            <color indexed="81"/>
            <rFont val="Tahoma"/>
            <family val="2"/>
          </rPr>
          <t xml:space="preserve">
See 10K page 128-140</t>
        </r>
      </text>
    </comment>
  </commentList>
</comments>
</file>

<file path=xl/sharedStrings.xml><?xml version="1.0" encoding="utf-8"?>
<sst xmlns="http://schemas.openxmlformats.org/spreadsheetml/2006/main" count="1624" uniqueCount="535">
  <si>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</si>
  <si>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</si>
  <si>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</si>
  <si>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</si>
  <si>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</si>
  <si>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</si>
  <si>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</si>
  <si>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</si>
  <si>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</si>
  <si>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</si>
  <si>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</si>
  <si>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</si>
  <si>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</si>
  <si>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</si>
  <si>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</si>
  <si>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</si>
  <si>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</si>
  <si>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</si>
  <si>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</si>
  <si>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</si>
  <si>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</si>
  <si>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</si>
  <si>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</si>
  <si>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</si>
  <si>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</si>
  <si>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</si>
  <si>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</si>
  <si>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</si>
  <si>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</si>
  <si>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</si>
  <si>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</si>
  <si>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</si>
  <si>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</si>
  <si>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</si>
  <si>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</si>
  <si>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</si>
  <si>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</si>
  <si>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</si>
  <si>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</si>
  <si>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</si>
  <si>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</si>
  <si>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</si>
  <si>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</si>
  <si>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</si>
  <si>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WEC Energy Group</t>
  </si>
  <si>
    <t>ALE</t>
  </si>
  <si>
    <t>LNT</t>
  </si>
  <si>
    <t>CMS</t>
  </si>
  <si>
    <t>DTE</t>
  </si>
  <si>
    <t>OGE</t>
  </si>
  <si>
    <t>AEE</t>
  </si>
  <si>
    <t>AEP</t>
  </si>
  <si>
    <t>CNP</t>
  </si>
  <si>
    <t>WEC</t>
  </si>
  <si>
    <t>A+</t>
  </si>
  <si>
    <t xml:space="preserve">  </t>
  </si>
  <si>
    <t>High</t>
  </si>
  <si>
    <t>Low</t>
  </si>
  <si>
    <t>DUK</t>
  </si>
  <si>
    <t>ETR</t>
  </si>
  <si>
    <t>Mergent Bond</t>
  </si>
  <si>
    <t>Rating</t>
  </si>
  <si>
    <t>FE</t>
  </si>
  <si>
    <t>Debt Rate</t>
  </si>
  <si>
    <t>S&amp;P</t>
  </si>
  <si>
    <t>S &amp; P</t>
  </si>
  <si>
    <t>% LT Debt &amp; Pref Stock</t>
  </si>
  <si>
    <t>Baa1</t>
  </si>
  <si>
    <t>Baa2</t>
  </si>
  <si>
    <t>BBB+</t>
  </si>
  <si>
    <t>BBB</t>
  </si>
  <si>
    <t xml:space="preserve">Guideline companies were selected from Electric (East &amp; Central &amp; West) Value Line Industry groups. </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</si>
  <si>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</si>
  <si>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</si>
  <si>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</si>
  <si>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</si>
  <si>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</si>
  <si>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</si>
  <si>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BBB-</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</si>
  <si>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</si>
  <si>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</si>
  <si>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</si>
  <si>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</si>
  <si>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</si>
  <si>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</si>
  <si>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</si>
  <si>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</si>
  <si>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</si>
  <si>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</si>
  <si>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</si>
  <si>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</si>
  <si>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</si>
  <si>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</si>
  <si>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YEAR END 12/31/2022</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</si>
  <si>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</si>
  <si>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</si>
  <si>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</si>
  <si>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</si>
  <si>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</si>
  <si>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</si>
  <si>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</si>
  <si>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</si>
  <si>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</si>
  <si>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</si>
  <si>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</si>
  <si>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</si>
  <si>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</si>
  <si>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</si>
  <si>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</si>
  <si>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</si>
  <si>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</si>
  <si>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</si>
  <si>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</si>
  <si>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</si>
  <si>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</si>
  <si>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</si>
  <si>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</si>
  <si>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</si>
  <si>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</si>
  <si>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</si>
  <si>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</si>
  <si>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</si>
  <si>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</si>
  <si>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</si>
  <si>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</si>
  <si>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</si>
  <si>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</si>
  <si>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</si>
  <si>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</si>
  <si>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</si>
  <si>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</si>
  <si>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</si>
  <si>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</si>
  <si>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</si>
  <si>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</si>
  <si>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</si>
  <si>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</si>
  <si>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</si>
  <si>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</si>
  <si>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</si>
  <si>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</si>
  <si>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</si>
  <si>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</si>
  <si>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</si>
  <si>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</si>
  <si>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</si>
  <si>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</si>
  <si>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</si>
  <si>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</si>
  <si>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</si>
  <si>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</si>
  <si>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</si>
  <si>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</si>
  <si>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</si>
  <si>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</si>
  <si>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</si>
  <si>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</si>
  <si>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</si>
  <si>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</si>
  <si>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</si>
  <si>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</si>
  <si>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</si>
  <si>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</si>
  <si>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</si>
  <si>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</si>
  <si>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</si>
  <si>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</si>
  <si>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</si>
  <si>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</si>
  <si>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</si>
  <si>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</si>
  <si>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</si>
  <si>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</si>
  <si>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</si>
  <si>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</si>
  <si>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</si>
  <si>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</si>
  <si>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</si>
  <si>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</si>
  <si>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</si>
  <si>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</si>
  <si>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</si>
  <si>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</si>
  <si>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</si>
  <si>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</si>
  <si>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</si>
  <si>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</si>
  <si>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</si>
  <si>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</si>
  <si>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</si>
  <si>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</si>
  <si>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</si>
  <si>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AA-</t>
  </si>
  <si>
    <t>Earnings</t>
  </si>
  <si>
    <t>Equity</t>
  </si>
  <si>
    <t>Equity Rate</t>
  </si>
  <si>
    <t>(F+G)</t>
  </si>
  <si>
    <t>(F+H)</t>
  </si>
  <si>
    <t xml:space="preserve">Yield Equity Rate - DGM (Dividend Growth) &amp; DGM (Earnings Growth)  </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</si>
  <si>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</si>
  <si>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</si>
  <si>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</si>
  <si>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</si>
  <si>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</si>
  <si>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</si>
  <si>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</si>
  <si>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</si>
  <si>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</si>
  <si>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</si>
  <si>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</si>
  <si>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</si>
  <si>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</si>
  <si>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</si>
  <si>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</si>
  <si>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</si>
  <si>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</si>
  <si>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</si>
  <si>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</si>
  <si>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</si>
  <si>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</si>
  <si>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</si>
  <si>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</si>
  <si>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</si>
  <si>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</si>
  <si>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</si>
  <si>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</si>
  <si>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</si>
  <si>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</si>
  <si>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</si>
  <si>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</si>
  <si>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</si>
  <si>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</si>
  <si>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</si>
  <si>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</si>
  <si>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</si>
  <si>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</si>
  <si>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</si>
  <si>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</si>
  <si>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</si>
  <si>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</si>
  <si>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</si>
  <si>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</si>
  <si>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</si>
  <si>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</si>
  <si>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</si>
  <si>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</si>
  <si>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</si>
  <si>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</si>
  <si>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</si>
  <si>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</si>
  <si>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</si>
  <si>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</si>
  <si>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</si>
  <si>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</si>
  <si>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</si>
  <si>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</si>
  <si>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</si>
  <si>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</si>
  <si>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</si>
  <si>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</si>
  <si>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</si>
  <si>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</si>
  <si>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</si>
  <si>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</si>
  <si>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</si>
  <si>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</si>
  <si>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&amp; Finance Leases</t>
  </si>
  <si>
    <t>10K Income Statement</t>
  </si>
  <si>
    <t>10K Balance Sheet</t>
  </si>
  <si>
    <t>Indicated Rate of Equity Selected &gt;</t>
  </si>
  <si>
    <t>NOTE:</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</si>
  <si>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</si>
  <si>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</si>
  <si>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</si>
  <si>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</si>
  <si>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</si>
  <si>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</si>
  <si>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</si>
  <si>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</si>
  <si>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</si>
  <si>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</si>
  <si>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</si>
  <si>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</si>
  <si>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</si>
  <si>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</si>
  <si>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</si>
  <si>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</si>
  <si>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</si>
  <si>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</si>
  <si>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</si>
  <si>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</si>
  <si>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</si>
  <si>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</si>
  <si>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</si>
  <si>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</si>
  <si>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</si>
  <si>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</si>
  <si>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</si>
  <si>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</si>
  <si>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</si>
  <si>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</si>
  <si>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</si>
  <si>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</si>
  <si>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</si>
  <si>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</si>
  <si>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</si>
  <si>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</si>
  <si>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</si>
  <si>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</si>
  <si>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</si>
  <si>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</si>
  <si>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</si>
  <si>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</si>
  <si>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</si>
  <si>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</si>
  <si>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</si>
  <si>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</si>
  <si>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</si>
  <si>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</si>
  <si>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</si>
  <si>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</si>
  <si>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</si>
  <si>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</si>
  <si>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</si>
  <si>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</si>
  <si>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</si>
  <si>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</si>
  <si>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</si>
  <si>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</si>
  <si>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</si>
  <si>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</si>
  <si>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</si>
  <si>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</si>
  <si>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</si>
  <si>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</si>
  <si>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</si>
  <si>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</si>
  <si>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</si>
  <si>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</si>
  <si>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</si>
  <si>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DY = Dividend Yield     See ValueLine</t>
  </si>
  <si>
    <t>G   = Average growth rate</t>
  </si>
  <si>
    <t>G1 = Short term growth estimate</t>
  </si>
  <si>
    <t>g   = Stable Growth - Nominal growth rate</t>
  </si>
  <si>
    <t>AAA</t>
  </si>
  <si>
    <t>AA+</t>
  </si>
  <si>
    <t>AA</t>
  </si>
  <si>
    <t>Obligations rated Aa are judged to be of high quality, with minimal risk.</t>
  </si>
  <si>
    <t>BB+</t>
  </si>
  <si>
    <t>BB</t>
  </si>
  <si>
    <t>BB-</t>
  </si>
  <si>
    <t>B-</t>
  </si>
  <si>
    <t>CCC+</t>
  </si>
  <si>
    <t>CCC</t>
  </si>
  <si>
    <t>CCC-</t>
  </si>
  <si>
    <t>CC</t>
  </si>
  <si>
    <t>Scale</t>
  </si>
  <si>
    <t>Retained to</t>
  </si>
  <si>
    <t>Shareholders Equity</t>
  </si>
  <si>
    <t>Return on Shareholders Equity -- Annual net profit divided by year-end shareholders equity, expressed as a percentage.</t>
  </si>
  <si>
    <t>Retained to Common Equity -- Net profit less all common and preferred dividends divided by common equity including intangible assets, expressed as a percentage.  Also known as the plowback ratio.</t>
  </si>
  <si>
    <t>Aaa1</t>
  </si>
  <si>
    <t>AAA+</t>
  </si>
  <si>
    <t>Aaa2</t>
  </si>
  <si>
    <t>Aaa3</t>
  </si>
  <si>
    <t>AAA-</t>
  </si>
  <si>
    <t>Ca1</t>
  </si>
  <si>
    <t>CC+</t>
  </si>
  <si>
    <t>Ca2</t>
  </si>
  <si>
    <t>Ca3</t>
  </si>
  <si>
    <t>CC-</t>
  </si>
  <si>
    <t>GROSS REVENUE &amp; GROSS BOOK (EQUITY) MULTIPLES</t>
  </si>
  <si>
    <t>Gross Revenues</t>
  </si>
  <si>
    <t>Gross Book Value Equity</t>
  </si>
  <si>
    <t>Multiple *</t>
  </si>
  <si>
    <t>* This multiple is applicable to service type companies, or those with few assets.  These companies sell at prices related to their revenues.</t>
  </si>
  <si>
    <t>The higher the return on revenue the higher the price to revenue will be.</t>
  </si>
  <si>
    <t>** The book value, or common equity, per share is total owners' equity minus preferred stock divided by the number of common shares outstanding.</t>
  </si>
  <si>
    <t>The purpose of this ratio is to test whether the market price is worth more (or less) than the cost of the assets.</t>
  </si>
  <si>
    <t>If the result is greater than one(1), it indicates the market value exceeds book value and can often be used as a sign of competent management.</t>
  </si>
  <si>
    <t>Share</t>
  </si>
  <si>
    <t>NOPAT Earnings</t>
  </si>
  <si>
    <t>P/E Ratio - Long Term Projection NOPAT</t>
  </si>
  <si>
    <t>&amp; Op Leases</t>
  </si>
  <si>
    <t>CS+LTD +PS +OL</t>
  </si>
  <si>
    <t xml:space="preserve">For rate based companies, the maximum allowed  'rate of return' established by state regulators is not comparable (a mismatch) to the 'cost of equity' calculated above.   </t>
  </si>
  <si>
    <t>Dividend Growth = DY + DG</t>
  </si>
  <si>
    <t>Earnings Growth = DY + EG</t>
  </si>
  <si>
    <t>DY = Dividend Yield</t>
  </si>
  <si>
    <t>DG = Dividend Growth</t>
  </si>
  <si>
    <t>EG = Earnings Growth</t>
  </si>
  <si>
    <t>G = Projected Growth (Div. 5 Yr Growth Rate)</t>
  </si>
  <si>
    <t>G = Projected Growth (Earnings Per Share 5 Yr Growth Rate)</t>
  </si>
  <si>
    <t>MGE Energy (MGEE) - Removed due to a lack of a ValueLine review sheet</t>
  </si>
  <si>
    <t>Per Share **</t>
  </si>
  <si>
    <t>Common Total Equity excludes 'noncontrolling interests' equity value.</t>
  </si>
  <si>
    <t xml:space="preserve">Property, Plant &amp; Equipment includes CWIP, but should exclude intangibles and the associated amortization.  </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</si>
  <si>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</si>
  <si>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</si>
  <si>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</si>
  <si>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</si>
  <si>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</si>
  <si>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</si>
  <si>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Projected 1 Yr</t>
  </si>
  <si>
    <t>Estimated 20-22 to 26-28</t>
  </si>
  <si>
    <t>Earnings Per Share Growth Rate</t>
  </si>
  <si>
    <t>Atmos Energy Corp</t>
  </si>
  <si>
    <t>ATO</t>
  </si>
  <si>
    <t>Gas Utility</t>
  </si>
  <si>
    <t>Black Hills Corporation</t>
  </si>
  <si>
    <t>BKH</t>
  </si>
  <si>
    <t>CenterPoint Energy Inc.</t>
  </si>
  <si>
    <t>CMS Energy Corporation</t>
  </si>
  <si>
    <t>New Jersey Resources Corp</t>
  </si>
  <si>
    <t>NJR</t>
  </si>
  <si>
    <t>NISOURCE Inc.</t>
  </si>
  <si>
    <t>NI</t>
  </si>
  <si>
    <t>NWN</t>
  </si>
  <si>
    <t>One Gas INC</t>
  </si>
  <si>
    <t>OGS</t>
  </si>
  <si>
    <t>SWX</t>
  </si>
  <si>
    <t>SR</t>
  </si>
  <si>
    <t>Delta Natural Gas Company  -  No longer publicly traded.  Peoples Natural Gas acquired Delta.</t>
  </si>
  <si>
    <t>Gas Natural, Inc. - Not publicly traded.  Recently acquired (June 2017) by Black Rock Assets Global Energy &amp; Power.</t>
  </si>
  <si>
    <t>UGI Corporation  -  Gas distribution utility operations too small (27%).  Propane distribution 35% Amerigas.</t>
  </si>
  <si>
    <t>WGL Holdings - Currently merged with AtlaGas Ltd.</t>
  </si>
  <si>
    <t>Companies added to the study last year &gt;</t>
  </si>
  <si>
    <t xml:space="preserve">Black Hills Corporation - 84% of their customers are provided gas distribtuion and 16% are provided electric services.  Serve gas customers in Arkansas, Colorado, Iowa, Kansas, Nebraska, and Wyoming.  </t>
  </si>
  <si>
    <t>CenterPoint Energy Inc - 64% of their customers are provided gas distribtuion and 36% are provided electric services.  This company merged with Vectren Corp. in early 2019 but will be used for our purposes.</t>
  </si>
  <si>
    <t>CMS Energy Corporation - 50% of their customers are provided gas distribution and 50% are provided electric services.</t>
  </si>
  <si>
    <t>MGE Energy Inc. - 51% of their customers are provided gas distribution and 49% are provided electric services.</t>
  </si>
  <si>
    <t>WEC Energy Group - 64% of their customers receive gas distribution as well as electric service</t>
  </si>
  <si>
    <t>Companies to consider in the study &gt;</t>
  </si>
  <si>
    <t xml:space="preserve">Chesapeake Utilities - Regulated business 67%.  Electricity in Florida.    Regulated gas in Delaware, Maryland &amp; Florida.  43% of their business income is associated with unregulated propane distribution.   </t>
  </si>
  <si>
    <t>Natural Gas Utility Distribution</t>
  </si>
  <si>
    <t>Spire Inc / Laclede Group Inc</t>
  </si>
  <si>
    <t>Electric Utility - West</t>
  </si>
  <si>
    <t>Electric Utility - Central</t>
  </si>
  <si>
    <t xml:space="preserve">Risk Free Rate (Rf) </t>
  </si>
  <si>
    <t>Southwest Gas Holdings, Inc</t>
  </si>
  <si>
    <t xml:space="preserve">Northwest Natural Holding Company </t>
  </si>
  <si>
    <t>Three Stage Ex Ante  Version 1  (1) (2)</t>
  </si>
  <si>
    <t>Three Stage Ex Ante  Version 2   (1) (2)</t>
  </si>
  <si>
    <t>CAPM - Ex Ante, Three Stage - V1</t>
  </si>
  <si>
    <t>CAPM - Ex Ante, Three Stage - V2</t>
  </si>
  <si>
    <t>Empirical CAPM - Ex Ante, Three Stage - V1</t>
  </si>
  <si>
    <t>Empirical CAPM - Ex Ante, Three Stage - V2</t>
  </si>
  <si>
    <t>NOPAT CASH FLOW MULTIPLE &amp; EQUITY RATE (LT 26-28 Yr Projected VL</t>
  </si>
  <si>
    <t>Mean</t>
  </si>
  <si>
    <t>Federal Reserve Bank of Philadelphia  /Survey of Professional Forecasters  Mean (3)</t>
  </si>
  <si>
    <t xml:space="preserve">S&amp;P Rating </t>
  </si>
  <si>
    <t>A market to book ratio over one would be an indication of obsolescence.</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</si>
  <si>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</si>
  <si>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</si>
  <si>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</si>
  <si>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</si>
  <si>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</si>
  <si>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</si>
  <si>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Harmonic Mean</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</si>
  <si>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</si>
  <si>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</si>
  <si>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</si>
  <si>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</si>
  <si>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</si>
  <si>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</si>
  <si>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</si>
  <si>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</si>
  <si>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</si>
  <si>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</si>
  <si>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</si>
  <si>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</si>
  <si>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</si>
  <si>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</si>
  <si>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</si>
  <si>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</si>
  <si>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</si>
  <si>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</si>
  <si>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Damodaran Implied ERP Ex Ante   Avg CF Yield Last 10 Yrs (3)</t>
  </si>
  <si>
    <t>P. Fernandez, T. Garcia de Santos &amp; J.F.Acin  (5)</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</si>
  <si>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</si>
  <si>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</si>
  <si>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</si>
  <si>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</si>
  <si>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</si>
  <si>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 xml:space="preserve">Congressional Budget Office Real Economic Projections (4)  </t>
  </si>
  <si>
    <t>https://www.cbo.gov/system/files/2021-02/56970-Outlook.p</t>
  </si>
  <si>
    <t>2024 CAPITALIZATION RATE STUDY</t>
  </si>
  <si>
    <t>2024 Tax Year</t>
  </si>
  <si>
    <t>YEAR END 12/31/2023</t>
  </si>
  <si>
    <t>Vl Projected 2024</t>
  </si>
  <si>
    <t>Dec. 31, 2023</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</si>
  <si>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</si>
  <si>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</si>
  <si>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</si>
  <si>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</si>
  <si>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</si>
  <si>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</si>
  <si>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</si>
  <si>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</si>
  <si>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</si>
  <si>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https://www.cbo.gov/publication/59933</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</si>
  <si>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</si>
  <si>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</si>
  <si>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</si>
  <si>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</si>
  <si>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</si>
  <si>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</si>
  <si>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</si>
  <si>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</si>
  <si>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</si>
  <si>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</si>
  <si>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</si>
  <si>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</si>
  <si>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</si>
  <si>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</si>
  <si>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</si>
  <si>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</si>
  <si>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</si>
  <si>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</si>
  <si>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</si>
  <si>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</si>
  <si>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</si>
  <si>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</si>
  <si>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</si>
  <si>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</si>
  <si>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</si>
  <si>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</si>
  <si>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Baa1 / A</t>
  </si>
  <si>
    <t>A3 / A</t>
  </si>
  <si>
    <t>Baa2 / A</t>
  </si>
  <si>
    <t>Baa2 / Ba</t>
  </si>
  <si>
    <t>Estimated 21-23 to 27-29</t>
  </si>
  <si>
    <t>Daily Tresury Par Real Yield Curve Rates  Jan 2 (1)</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</si>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</sst>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_(&quot;$&quot;* #,##0.0_);_(&quot;$&quot;* \(#,##0.0\);_(&quot;$&quot;* &quot;-&quot;??_);_(@_)"/>
    <numFmt numFmtId="171" formatCode="0.0000%"/>
  </numFmts>
  <fonts count="74">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b/>
      <sz val="9"/>
      <color indexed="81"/>
      <name val="Tahoma"/>
      <family val="2"/>
    </font>
    <font>
      <i/>
      <sz val="11"/>
      <color theme="1"/>
      <name val="Calibri"/>
      <family val="2"/>
      <scheme val="minor"/>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i/>
      <sz val="11"/>
      <color theme="1"/>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sz val="12"/>
      <color rgb="FF000000"/>
      <name val="Microsoft GothicNeo"/>
      <family val="2"/>
      <charset val="129"/>
    </font>
    <font>
      <b/>
      <i/>
      <sz val="14"/>
      <color theme="1"/>
      <name val="Calibri"/>
      <family val="2"/>
      <scheme val="minor"/>
    </font>
    <font>
      <sz val="11"/>
      <name val="Calibri"/>
      <family val="2"/>
      <scheme val="minor"/>
    </font>
    <font>
      <b/>
      <sz val="9"/>
      <name val="Microsoft GothicNeo"/>
      <family val="2"/>
      <charset val="129"/>
    </font>
    <font>
      <b/>
      <i/>
      <sz val="18"/>
      <color rgb="FF0000CC"/>
      <name val="Microsoft GothicNeo"/>
      <family val="2"/>
      <charset val="129"/>
    </font>
    <font>
      <b/>
      <i/>
      <sz val="18"/>
      <name val="Microsoft GothicNeo"/>
      <family val="2"/>
      <charset val="129"/>
    </font>
    <font>
      <sz val="12"/>
      <color indexed="81"/>
      <name val="Tahoma"/>
      <family val="2"/>
    </font>
    <font>
      <b/>
      <sz val="18"/>
      <name val="Microsoft GothicNeo"/>
      <family val="2"/>
      <charset val="129"/>
    </font>
    <font>
      <sz val="11"/>
      <color rgb="FF0000CC"/>
      <name val="Microsoft GothicNeo"/>
      <family val="2"/>
      <charset val="129"/>
    </font>
    <font>
      <sz val="11"/>
      <color rgb="FF0000CC"/>
      <name val="Microsoft GothicNeo Light"/>
      <family val="2"/>
      <charset val="129"/>
    </font>
    <font>
      <sz val="9"/>
      <color indexed="81"/>
      <name val="Tahoma"/>
      <charset val="1"/>
    </font>
    <font>
      <b/>
      <sz val="9"/>
      <color indexed="81"/>
      <name val="Tahoma"/>
      <charset val="1"/>
    </font>
  </fonts>
  <fills count="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42">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9" fillId="0" borderId="0"/>
    <xf numFmtId="0" fontId="19" fillId="0" borderId="0"/>
    <xf numFmtId="0" fontId="20" fillId="0" borderId="0" applyNumberFormat="0" applyFill="0" applyBorder="0" applyAlignment="0" applyProtection="0"/>
  </cellStyleXfs>
  <cellXfs count="475">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0" fontId="18" fillId="0" borderId="0" xfId="0" applyFont="1"/>
    <xf numFmtId="167" fontId="15" fillId="2" borderId="0" xfId="0" applyNumberFormat="1" applyFont="1" applyFill="1" applyAlignment="1">
      <alignment horizontal="center"/>
    </xf>
    <xf numFmtId="0" fontId="21" fillId="0" borderId="0" xfId="0" applyFont="1"/>
    <xf numFmtId="0" fontId="21" fillId="0" borderId="0" xfId="0" applyFont="1" applyAlignment="1">
      <alignment horizontal="center"/>
    </xf>
    <xf numFmtId="0" fontId="23" fillId="0" borderId="0" xfId="0" applyFont="1" applyAlignment="1">
      <alignment horizontal="right"/>
    </xf>
    <xf numFmtId="43" fontId="24" fillId="0" borderId="0" xfId="1" applyFont="1" applyAlignment="1">
      <alignment horizontal="right" vertical="center"/>
    </xf>
    <xf numFmtId="43" fontId="24" fillId="0" borderId="0" xfId="1" applyFont="1" applyFill="1" applyAlignment="1">
      <alignment horizontal="right" vertical="center"/>
    </xf>
    <xf numFmtId="43" fontId="23" fillId="0" borderId="0" xfId="1" applyFont="1" applyFill="1" applyAlignment="1">
      <alignment horizontal="right"/>
    </xf>
    <xf numFmtId="43" fontId="23" fillId="0" borderId="0" xfId="1" applyFont="1" applyFill="1" applyAlignment="1">
      <alignment horizontal="center"/>
    </xf>
    <xf numFmtId="43" fontId="23" fillId="0" borderId="0" xfId="1" applyFont="1" applyFill="1" applyAlignment="1">
      <alignment horizontal="center" vertical="center"/>
    </xf>
    <xf numFmtId="43" fontId="23" fillId="0" borderId="0" xfId="1" applyFont="1" applyFill="1" applyBorder="1" applyAlignment="1">
      <alignment horizontal="center" vertical="center"/>
    </xf>
    <xf numFmtId="43" fontId="23" fillId="0" borderId="0" xfId="1" applyFont="1" applyFill="1"/>
    <xf numFmtId="164" fontId="23" fillId="0" borderId="0" xfId="1" applyNumberFormat="1" applyFont="1" applyFill="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30" fillId="0" borderId="16" xfId="0" applyFont="1" applyBorder="1"/>
    <xf numFmtId="0" fontId="21" fillId="0" borderId="2" xfId="0" applyFont="1" applyBorder="1"/>
    <xf numFmtId="0" fontId="29" fillId="0" borderId="2" xfId="0" applyFont="1" applyBorder="1"/>
    <xf numFmtId="0" fontId="30" fillId="0" borderId="0" xfId="0" applyFont="1"/>
    <xf numFmtId="0" fontId="26" fillId="0" borderId="0" xfId="0" applyFont="1" applyAlignment="1">
      <alignment horizontal="center"/>
    </xf>
    <xf numFmtId="0" fontId="31" fillId="0" borderId="2" xfId="0" applyFont="1" applyBorder="1" applyAlignment="1">
      <alignment horizontal="center"/>
    </xf>
    <xf numFmtId="0" fontId="32" fillId="0" borderId="2" xfId="0" applyFont="1" applyBorder="1" applyAlignment="1">
      <alignment horizontal="center"/>
    </xf>
    <xf numFmtId="0" fontId="23" fillId="0" borderId="0" xfId="0" applyFont="1" applyAlignment="1">
      <alignment horizontal="center"/>
    </xf>
    <xf numFmtId="0" fontId="31" fillId="0" borderId="0" xfId="0" applyFont="1" applyAlignment="1">
      <alignment horizontal="center"/>
    </xf>
    <xf numFmtId="0" fontId="23" fillId="0" borderId="2" xfId="0" applyFont="1" applyBorder="1" applyAlignment="1">
      <alignment horizontal="center"/>
    </xf>
    <xf numFmtId="0" fontId="33" fillId="0" borderId="2" xfId="0" applyFont="1" applyBorder="1" applyAlignment="1">
      <alignment horizontal="center"/>
    </xf>
    <xf numFmtId="0" fontId="32" fillId="0" borderId="1" xfId="0" applyFont="1" applyBorder="1" applyAlignment="1">
      <alignment horizontal="center"/>
    </xf>
    <xf numFmtId="0" fontId="34" fillId="0" borderId="1" xfId="0" applyFont="1" applyBorder="1" applyAlignment="1">
      <alignment horizontal="center"/>
    </xf>
    <xf numFmtId="0" fontId="32" fillId="0" borderId="0" xfId="0" applyFont="1" applyAlignment="1">
      <alignment horizontal="center"/>
    </xf>
    <xf numFmtId="0" fontId="35" fillId="0" borderId="2" xfId="0" applyFont="1" applyBorder="1" applyAlignment="1">
      <alignment horizontal="center"/>
    </xf>
    <xf numFmtId="0" fontId="37" fillId="0" borderId="1" xfId="0" applyFont="1" applyBorder="1" applyAlignment="1">
      <alignment horizontal="center"/>
    </xf>
    <xf numFmtId="0" fontId="23" fillId="0" borderId="0" xfId="0" applyFont="1"/>
    <xf numFmtId="166" fontId="24" fillId="0" borderId="0" xfId="1" applyNumberFormat="1" applyFont="1" applyFill="1" applyAlignment="1">
      <alignment horizontal="center"/>
    </xf>
    <xf numFmtId="166" fontId="24" fillId="0" borderId="0" xfId="1" applyNumberFormat="1" applyFont="1" applyFill="1"/>
    <xf numFmtId="0" fontId="23" fillId="0" borderId="4" xfId="0" applyFont="1" applyBorder="1"/>
    <xf numFmtId="0" fontId="24" fillId="0" borderId="0" xfId="0" applyFont="1" applyAlignment="1">
      <alignment horizontal="center" vertical="center"/>
    </xf>
    <xf numFmtId="166" fontId="23" fillId="0" borderId="0" xfId="1" applyNumberFormat="1" applyFont="1" applyFill="1" applyAlignment="1">
      <alignment horizontal="center"/>
    </xf>
    <xf numFmtId="0" fontId="26" fillId="0" borderId="0" xfId="0" applyFont="1" applyAlignment="1">
      <alignment horizontal="right"/>
    </xf>
    <xf numFmtId="10" fontId="23" fillId="0" borderId="0" xfId="2" applyNumberFormat="1" applyFont="1" applyFill="1" applyAlignment="1">
      <alignment horizontal="center" vertical="center"/>
    </xf>
    <xf numFmtId="10" fontId="23" fillId="0" borderId="0" xfId="2" applyNumberFormat="1" applyFont="1" applyFill="1" applyBorder="1" applyAlignment="1">
      <alignment horizontal="center" vertical="center"/>
    </xf>
    <xf numFmtId="10" fontId="24" fillId="0" borderId="0" xfId="2" applyNumberFormat="1" applyFont="1" applyAlignment="1">
      <alignment horizontal="right" vertical="center"/>
    </xf>
    <xf numFmtId="10" fontId="24" fillId="0" borderId="0" xfId="2" applyNumberFormat="1" applyFont="1" applyFill="1" applyAlignment="1">
      <alignment horizontal="center" vertical="center"/>
    </xf>
    <xf numFmtId="10" fontId="24" fillId="0" borderId="0" xfId="2" applyNumberFormat="1" applyFont="1" applyFill="1" applyAlignment="1">
      <alignment horizontal="right"/>
    </xf>
    <xf numFmtId="10" fontId="23" fillId="0" borderId="0" xfId="2" applyNumberFormat="1" applyFont="1" applyFill="1" applyAlignment="1">
      <alignment horizontal="right"/>
    </xf>
    <xf numFmtId="10" fontId="23" fillId="0" borderId="0" xfId="2" applyNumberFormat="1" applyFont="1" applyFill="1" applyAlignment="1">
      <alignment horizontal="center"/>
    </xf>
    <xf numFmtId="10" fontId="23" fillId="0" borderId="0" xfId="2" applyNumberFormat="1" applyFont="1" applyFill="1"/>
    <xf numFmtId="0" fontId="21" fillId="3" borderId="20" xfId="0" applyFont="1" applyFill="1" applyBorder="1" applyAlignment="1">
      <alignment horizontal="center"/>
    </xf>
    <xf numFmtId="0" fontId="21" fillId="3" borderId="22" xfId="0" applyFont="1" applyFill="1" applyBorder="1" applyAlignment="1">
      <alignment horizontal="center"/>
    </xf>
    <xf numFmtId="2" fontId="40" fillId="0" borderId="0" xfId="0" applyNumberFormat="1" applyFont="1" applyAlignment="1">
      <alignment horizontal="center"/>
    </xf>
    <xf numFmtId="164" fontId="40" fillId="0" borderId="0" xfId="1" applyNumberFormat="1" applyFont="1" applyAlignment="1"/>
    <xf numFmtId="2" fontId="24" fillId="0" borderId="0" xfId="0" applyNumberFormat="1" applyFont="1" applyAlignment="1">
      <alignment horizontal="center"/>
    </xf>
    <xf numFmtId="0" fontId="36" fillId="0" borderId="0" xfId="0" applyFont="1"/>
    <xf numFmtId="43" fontId="26" fillId="0" borderId="0" xfId="1" applyFont="1" applyFill="1"/>
    <xf numFmtId="2" fontId="40" fillId="0" borderId="4" xfId="0" applyNumberFormat="1" applyFont="1" applyBorder="1" applyAlignment="1">
      <alignment horizontal="center"/>
    </xf>
    <xf numFmtId="10" fontId="24" fillId="0" borderId="0" xfId="2" applyNumberFormat="1" applyFont="1" applyFill="1" applyAlignment="1">
      <alignment horizontal="center"/>
    </xf>
    <xf numFmtId="0" fontId="21" fillId="0" borderId="2" xfId="0" applyFont="1" applyBorder="1" applyAlignment="1">
      <alignment horizontal="center"/>
    </xf>
    <xf numFmtId="0" fontId="33" fillId="0" borderId="17" xfId="0" applyFont="1" applyBorder="1" applyAlignment="1">
      <alignment horizontal="center"/>
    </xf>
    <xf numFmtId="0" fontId="26" fillId="0" borderId="0" xfId="0" applyFont="1" applyAlignment="1">
      <alignment horizontal="center" vertical="center"/>
    </xf>
    <xf numFmtId="2" fontId="23" fillId="0" borderId="0" xfId="0" applyNumberFormat="1" applyFont="1" applyAlignment="1">
      <alignment horizontal="center"/>
    </xf>
    <xf numFmtId="0" fontId="21" fillId="0" borderId="4" xfId="0" applyFont="1" applyBorder="1"/>
    <xf numFmtId="2" fontId="23" fillId="0" borderId="0" xfId="0" applyNumberFormat="1" applyFont="1" applyAlignment="1">
      <alignment horizontal="right"/>
    </xf>
    <xf numFmtId="10" fontId="23" fillId="0" borderId="0" xfId="0" applyNumberFormat="1" applyFont="1"/>
    <xf numFmtId="0" fontId="41" fillId="0" borderId="0" xfId="0" applyFont="1" applyAlignment="1">
      <alignment horizontal="center"/>
    </xf>
    <xf numFmtId="0" fontId="42" fillId="0" borderId="0" xfId="0" applyFont="1"/>
    <xf numFmtId="0" fontId="43" fillId="0" borderId="17" xfId="0" applyFont="1" applyBorder="1" applyAlignment="1">
      <alignment horizontal="center"/>
    </xf>
    <xf numFmtId="0" fontId="38" fillId="0" borderId="0" xfId="0" applyFont="1" applyAlignment="1">
      <alignment horizontal="right"/>
    </xf>
    <xf numFmtId="0" fontId="30" fillId="0" borderId="0" xfId="0" applyFont="1" applyAlignment="1">
      <alignment horizontal="center"/>
    </xf>
    <xf numFmtId="0" fontId="23" fillId="0" borderId="24" xfId="0" applyFont="1" applyBorder="1" applyAlignment="1">
      <alignment horizontal="center"/>
    </xf>
    <xf numFmtId="0" fontId="23" fillId="0" borderId="10" xfId="0" applyFont="1" applyBorder="1" applyAlignment="1">
      <alignment horizontal="center"/>
    </xf>
    <xf numFmtId="0" fontId="23" fillId="0" borderId="3" xfId="0" applyFont="1" applyBorder="1" applyAlignment="1">
      <alignment horizontal="center"/>
    </xf>
    <xf numFmtId="10" fontId="23" fillId="0" borderId="0" xfId="2" applyNumberFormat="1" applyFont="1"/>
    <xf numFmtId="10" fontId="23" fillId="0" borderId="0" xfId="1" applyNumberFormat="1" applyFont="1" applyFill="1"/>
    <xf numFmtId="10" fontId="45" fillId="0" borderId="0" xfId="2" applyNumberFormat="1" applyFont="1" applyFill="1" applyAlignment="1">
      <alignment horizontal="center"/>
    </xf>
    <xf numFmtId="164" fontId="23" fillId="0" borderId="0" xfId="1" applyNumberFormat="1" applyFont="1"/>
    <xf numFmtId="0" fontId="21" fillId="0" borderId="0" xfId="0" applyFont="1" applyAlignment="1">
      <alignment horizontal="left"/>
    </xf>
    <xf numFmtId="0" fontId="23" fillId="0" borderId="2" xfId="0" applyFont="1" applyBorder="1"/>
    <xf numFmtId="0" fontId="36" fillId="0" borderId="7" xfId="0" applyFont="1" applyBorder="1" applyAlignment="1">
      <alignment horizontal="center"/>
    </xf>
    <xf numFmtId="0" fontId="36" fillId="0" borderId="10" xfId="0" applyFont="1" applyBorder="1" applyAlignment="1">
      <alignment horizontal="center"/>
    </xf>
    <xf numFmtId="0" fontId="36" fillId="0" borderId="0" xfId="0" applyFont="1" applyAlignment="1">
      <alignment horizontal="center"/>
    </xf>
    <xf numFmtId="15" fontId="36" fillId="0" borderId="10" xfId="0" applyNumberFormat="1" applyFont="1" applyBorder="1" applyAlignment="1">
      <alignment horizontal="center"/>
    </xf>
    <xf numFmtId="15" fontId="36" fillId="0" borderId="0" xfId="0" applyNumberFormat="1" applyFont="1" applyAlignment="1">
      <alignment horizontal="center"/>
    </xf>
    <xf numFmtId="15" fontId="36" fillId="0" borderId="10" xfId="0" quotePrefix="1" applyNumberFormat="1" applyFont="1" applyBorder="1" applyAlignment="1">
      <alignment horizontal="center"/>
    </xf>
    <xf numFmtId="15" fontId="36" fillId="0" borderId="0" xfId="0" quotePrefix="1" applyNumberFormat="1" applyFont="1" applyAlignment="1">
      <alignment horizontal="center"/>
    </xf>
    <xf numFmtId="0" fontId="24" fillId="0" borderId="10" xfId="0" applyFont="1" applyBorder="1" applyAlignment="1">
      <alignment horizontal="center"/>
    </xf>
    <xf numFmtId="0" fontId="40" fillId="0" borderId="10" xfId="0" applyFont="1" applyBorder="1" applyAlignment="1">
      <alignment horizontal="center"/>
    </xf>
    <xf numFmtId="0" fontId="36" fillId="0" borderId="8" xfId="0" applyFont="1" applyBorder="1" applyAlignment="1">
      <alignment horizontal="center"/>
    </xf>
    <xf numFmtId="0" fontId="36" fillId="0" borderId="3" xfId="0" applyFont="1" applyBorder="1" applyAlignment="1">
      <alignment horizontal="center"/>
    </xf>
    <xf numFmtId="0" fontId="36" fillId="0" borderId="2" xfId="0" applyFont="1" applyBorder="1" applyAlignment="1">
      <alignment horizontal="center"/>
    </xf>
    <xf numFmtId="0" fontId="37" fillId="0" borderId="3" xfId="0" applyFont="1" applyBorder="1" applyAlignment="1">
      <alignment horizontal="center"/>
    </xf>
    <xf numFmtId="0" fontId="37" fillId="0" borderId="2" xfId="0" applyFont="1" applyBorder="1" applyAlignment="1">
      <alignment horizontal="center"/>
    </xf>
    <xf numFmtId="0" fontId="37" fillId="0" borderId="9" xfId="0" applyFont="1" applyBorder="1" applyAlignment="1">
      <alignment horizontal="center"/>
    </xf>
    <xf numFmtId="0" fontId="37" fillId="0" borderId="11" xfId="0" applyFont="1" applyBorder="1" applyAlignment="1">
      <alignment horizontal="center"/>
    </xf>
    <xf numFmtId="0" fontId="36" fillId="0" borderId="10" xfId="0" applyFont="1" applyBorder="1"/>
    <xf numFmtId="0" fontId="36" fillId="0" borderId="7" xfId="0" applyFont="1" applyBorder="1"/>
    <xf numFmtId="0" fontId="40" fillId="0" borderId="0" xfId="0" applyFont="1" applyAlignment="1">
      <alignment horizontal="center"/>
    </xf>
    <xf numFmtId="2" fontId="40" fillId="0" borderId="10" xfId="0" applyNumberFormat="1" applyFont="1" applyBorder="1" applyAlignment="1">
      <alignment horizontal="center"/>
    </xf>
    <xf numFmtId="0" fontId="40" fillId="0" borderId="7" xfId="0" applyFont="1" applyBorder="1"/>
    <xf numFmtId="0" fontId="36" fillId="0" borderId="8" xfId="0" applyFont="1" applyBorder="1"/>
    <xf numFmtId="3" fontId="40" fillId="0" borderId="2" xfId="0" applyNumberFormat="1" applyFont="1" applyBorder="1"/>
    <xf numFmtId="0" fontId="39" fillId="0" borderId="0" xfId="0" applyFont="1"/>
    <xf numFmtId="0" fontId="47" fillId="0" borderId="2" xfId="0" applyFont="1" applyBorder="1"/>
    <xf numFmtId="0" fontId="39" fillId="0" borderId="2" xfId="0" applyFont="1" applyBorder="1"/>
    <xf numFmtId="0" fontId="39" fillId="0" borderId="5" xfId="0" applyFont="1" applyBorder="1"/>
    <xf numFmtId="0" fontId="39" fillId="0" borderId="6" xfId="0" applyFont="1" applyBorder="1"/>
    <xf numFmtId="15" fontId="36" fillId="0" borderId="6" xfId="0" quotePrefix="1" applyNumberFormat="1" applyFont="1" applyBorder="1" applyAlignment="1">
      <alignment horizontal="center"/>
    </xf>
    <xf numFmtId="0" fontId="21" fillId="0" borderId="6" xfId="0" applyFont="1" applyBorder="1"/>
    <xf numFmtId="0" fontId="36" fillId="0" borderId="14" xfId="0" applyFont="1" applyBorder="1" applyAlignment="1">
      <alignment horizontal="center"/>
    </xf>
    <xf numFmtId="0" fontId="37" fillId="0" borderId="15" xfId="0" applyFont="1" applyBorder="1" applyAlignment="1">
      <alignment horizontal="center"/>
    </xf>
    <xf numFmtId="164" fontId="40" fillId="0" borderId="0" xfId="1" applyNumberFormat="1" applyFont="1" applyFill="1" applyBorder="1"/>
    <xf numFmtId="0" fontId="36" fillId="0" borderId="0" xfId="0" applyFont="1" applyAlignment="1">
      <alignment horizontal="right"/>
    </xf>
    <xf numFmtId="164" fontId="23" fillId="0" borderId="0" xfId="0" applyNumberFormat="1" applyFont="1"/>
    <xf numFmtId="10" fontId="36" fillId="0" borderId="0" xfId="0" applyNumberFormat="1" applyFont="1" applyAlignment="1">
      <alignment horizontal="right"/>
    </xf>
    <xf numFmtId="10" fontId="36" fillId="0" borderId="0" xfId="2" applyNumberFormat="1" applyFont="1" applyFill="1"/>
    <xf numFmtId="10" fontId="36" fillId="0" borderId="0" xfId="2" applyNumberFormat="1" applyFont="1"/>
    <xf numFmtId="2" fontId="21" fillId="0" borderId="0" xfId="0" applyNumberFormat="1" applyFont="1"/>
    <xf numFmtId="0" fontId="23" fillId="0" borderId="1" xfId="0" applyFont="1" applyBorder="1" applyAlignment="1">
      <alignment horizontal="center"/>
    </xf>
    <xf numFmtId="0" fontId="30" fillId="0" borderId="0" xfId="0" applyFont="1" applyAlignment="1">
      <alignment horizontal="right"/>
    </xf>
    <xf numFmtId="0" fontId="24" fillId="0" borderId="0" xfId="0" applyFont="1"/>
    <xf numFmtId="0" fontId="22" fillId="0" borderId="0" xfId="0" applyFont="1"/>
    <xf numFmtId="0" fontId="22" fillId="0" borderId="0" xfId="0" applyFont="1" applyAlignment="1">
      <alignment horizontal="left"/>
    </xf>
    <xf numFmtId="0" fontId="50" fillId="0" borderId="0" xfId="6" applyFont="1" applyFill="1" applyAlignment="1" applyProtection="1">
      <alignment horizontal="left" vertical="top"/>
    </xf>
    <xf numFmtId="0" fontId="22" fillId="0" borderId="0" xfId="0" applyFont="1" applyAlignment="1">
      <alignment horizontal="left" vertical="top"/>
    </xf>
    <xf numFmtId="0" fontId="22" fillId="0" borderId="0" xfId="0" applyFont="1" applyAlignment="1">
      <alignment vertical="top"/>
    </xf>
    <xf numFmtId="0" fontId="51" fillId="0" borderId="0" xfId="0" applyFont="1" applyAlignment="1">
      <alignment horizontal="left" vertical="top"/>
    </xf>
    <xf numFmtId="0" fontId="51" fillId="0" borderId="0" xfId="0" applyFont="1"/>
    <xf numFmtId="165" fontId="23" fillId="0" borderId="0" xfId="3" applyNumberFormat="1" applyFont="1" applyFill="1" applyAlignment="1">
      <alignment horizontal="center"/>
    </xf>
    <xf numFmtId="164" fontId="24" fillId="0" borderId="0" xfId="1" applyNumberFormat="1" applyFont="1" applyFill="1"/>
    <xf numFmtId="10" fontId="24" fillId="0" borderId="0" xfId="2" applyNumberFormat="1" applyFont="1" applyFill="1"/>
    <xf numFmtId="0" fontId="30" fillId="0" borderId="2" xfId="0" applyFont="1" applyBorder="1" applyAlignment="1">
      <alignment horizontal="center"/>
    </xf>
    <xf numFmtId="10" fontId="40" fillId="0" borderId="0" xfId="2" applyNumberFormat="1" applyFont="1" applyFill="1" applyAlignment="1">
      <alignment horizontal="center"/>
    </xf>
    <xf numFmtId="10" fontId="40" fillId="0" borderId="0" xfId="2" applyNumberFormat="1" applyFont="1" applyFill="1"/>
    <xf numFmtId="2" fontId="52" fillId="0" borderId="0" xfId="0" applyNumberFormat="1" applyFont="1" applyAlignment="1">
      <alignment horizontal="center"/>
    </xf>
    <xf numFmtId="2" fontId="36" fillId="0" borderId="2" xfId="0" applyNumberFormat="1" applyFont="1" applyBorder="1" applyAlignment="1">
      <alignment horizontal="center"/>
    </xf>
    <xf numFmtId="10" fontId="36" fillId="0" borderId="2" xfId="2" applyNumberFormat="1" applyFont="1" applyBorder="1"/>
    <xf numFmtId="10" fontId="36" fillId="0" borderId="0" xfId="0" applyNumberFormat="1" applyFont="1" applyAlignment="1">
      <alignment horizontal="center"/>
    </xf>
    <xf numFmtId="2" fontId="36" fillId="0" borderId="0" xfId="0" applyNumberFormat="1" applyFont="1" applyAlignment="1">
      <alignment horizontal="center"/>
    </xf>
    <xf numFmtId="0" fontId="40" fillId="0" borderId="0" xfId="0" applyFont="1"/>
    <xf numFmtId="0" fontId="36" fillId="0" borderId="0" xfId="0" applyFont="1" applyAlignment="1">
      <alignment horizontal="left"/>
    </xf>
    <xf numFmtId="10" fontId="24" fillId="0" borderId="4" xfId="2" applyNumberFormat="1" applyFont="1" applyFill="1" applyBorder="1" applyAlignment="1">
      <alignment horizontal="center"/>
    </xf>
    <xf numFmtId="10" fontId="21" fillId="0" borderId="0" xfId="0" applyNumberFormat="1" applyFont="1"/>
    <xf numFmtId="0" fontId="20" fillId="0" borderId="0" xfId="6"/>
    <xf numFmtId="0" fontId="23" fillId="0" borderId="0" xfId="0" applyFont="1" applyAlignment="1">
      <alignment horizontal="left"/>
    </xf>
    <xf numFmtId="0" fontId="53" fillId="0" borderId="2" xfId="0" applyFont="1" applyBorder="1"/>
    <xf numFmtId="0" fontId="0" fillId="0" borderId="2" xfId="0" applyBorder="1"/>
    <xf numFmtId="0" fontId="30" fillId="0" borderId="2" xfId="0" applyFont="1" applyBorder="1"/>
    <xf numFmtId="0" fontId="21" fillId="0" borderId="5" xfId="0" applyFont="1" applyBorder="1"/>
    <xf numFmtId="0" fontId="21" fillId="0" borderId="12" xfId="0" applyFont="1" applyBorder="1"/>
    <xf numFmtId="0" fontId="23" fillId="0" borderId="8" xfId="0" applyFont="1" applyBorder="1" applyAlignment="1">
      <alignment horizontal="center" vertical="center"/>
    </xf>
    <xf numFmtId="0" fontId="30" fillId="0" borderId="34" xfId="0" applyFont="1" applyBorder="1" applyAlignment="1">
      <alignment horizontal="center" vertical="center" wrapText="1"/>
    </xf>
    <xf numFmtId="0" fontId="30" fillId="0" borderId="16" xfId="0" applyFont="1" applyBorder="1" applyAlignment="1">
      <alignment horizontal="center" vertical="center"/>
    </xf>
    <xf numFmtId="0" fontId="30" fillId="0" borderId="16" xfId="0" applyFont="1" applyBorder="1" applyAlignment="1">
      <alignment horizontal="center" vertical="center" wrapText="1"/>
    </xf>
    <xf numFmtId="0" fontId="30" fillId="0" borderId="32" xfId="0" applyFont="1" applyBorder="1" applyAlignment="1">
      <alignment horizontal="center" vertical="center"/>
    </xf>
    <xf numFmtId="0" fontId="36" fillId="0" borderId="16" xfId="0" applyFont="1" applyBorder="1" applyAlignment="1">
      <alignment horizontal="center" vertical="center"/>
    </xf>
    <xf numFmtId="0" fontId="30" fillId="0" borderId="7" xfId="0" applyFont="1" applyBorder="1" applyAlignment="1">
      <alignment horizontal="center" vertical="center"/>
    </xf>
    <xf numFmtId="10" fontId="30" fillId="0" borderId="2" xfId="2" applyNumberFormat="1" applyFont="1" applyBorder="1" applyAlignment="1">
      <alignment horizontal="center" vertical="center"/>
    </xf>
    <xf numFmtId="0" fontId="36" fillId="0" borderId="2" xfId="0" applyFont="1" applyBorder="1" applyAlignment="1">
      <alignment horizontal="center" vertical="center"/>
    </xf>
    <xf numFmtId="0" fontId="53" fillId="0" borderId="33" xfId="0" applyFont="1" applyBorder="1"/>
    <xf numFmtId="0" fontId="21" fillId="0" borderId="27" xfId="0" applyFont="1" applyBorder="1"/>
    <xf numFmtId="0" fontId="21" fillId="0" borderId="26" xfId="0" applyFont="1" applyBorder="1"/>
    <xf numFmtId="0" fontId="36" fillId="0" borderId="29" xfId="0" applyFont="1" applyBorder="1"/>
    <xf numFmtId="0" fontId="36" fillId="0" borderId="31" xfId="0" applyFont="1" applyBorder="1"/>
    <xf numFmtId="10" fontId="40" fillId="0" borderId="25" xfId="2" applyNumberFormat="1" applyFont="1" applyFill="1" applyBorder="1" applyAlignment="1">
      <alignment horizontal="center"/>
    </xf>
    <xf numFmtId="0" fontId="36" fillId="0" borderId="20" xfId="0" applyFont="1" applyBorder="1"/>
    <xf numFmtId="10" fontId="40" fillId="0" borderId="26" xfId="2" applyNumberFormat="1" applyFont="1" applyFill="1" applyBorder="1" applyAlignment="1">
      <alignment horizontal="center"/>
    </xf>
    <xf numFmtId="0" fontId="36" fillId="0" borderId="22" xfId="0" applyFont="1" applyBorder="1"/>
    <xf numFmtId="0" fontId="36" fillId="0" borderId="1" xfId="0" applyFont="1" applyBorder="1"/>
    <xf numFmtId="10" fontId="40" fillId="0" borderId="27" xfId="2" applyNumberFormat="1" applyFont="1" applyFill="1" applyBorder="1" applyAlignment="1">
      <alignment horizontal="center"/>
    </xf>
    <xf numFmtId="10" fontId="40" fillId="0" borderId="26" xfId="2" applyNumberFormat="1" applyFont="1" applyBorder="1" applyAlignment="1">
      <alignment horizontal="center" vertical="center"/>
    </xf>
    <xf numFmtId="10" fontId="36" fillId="0" borderId="25" xfId="2" applyNumberFormat="1" applyFont="1" applyFill="1" applyBorder="1" applyAlignment="1">
      <alignment horizontal="center"/>
    </xf>
    <xf numFmtId="10" fontId="36" fillId="0" borderId="27" xfId="2" applyNumberFormat="1" applyFont="1" applyFill="1" applyBorder="1" applyAlignment="1">
      <alignment horizontal="center"/>
    </xf>
    <xf numFmtId="10" fontId="40" fillId="0" borderId="0" xfId="2" applyNumberFormat="1" applyFont="1" applyAlignment="1">
      <alignment horizontal="right" vertical="center"/>
    </xf>
    <xf numFmtId="10" fontId="36" fillId="0" borderId="0" xfId="2" applyNumberFormat="1" applyFont="1" applyFill="1" applyAlignment="1">
      <alignment horizontal="right"/>
    </xf>
    <xf numFmtId="0" fontId="36" fillId="0" borderId="0" xfId="0" applyFont="1" applyAlignment="1">
      <alignment horizontal="center" vertical="center"/>
    </xf>
    <xf numFmtId="0" fontId="24" fillId="0" borderId="25" xfId="0" applyFont="1" applyBorder="1" applyAlignment="1">
      <alignment horizontal="center"/>
    </xf>
    <xf numFmtId="0" fontId="24" fillId="0" borderId="27" xfId="0" applyFont="1" applyBorder="1" applyAlignment="1">
      <alignment horizontal="center"/>
    </xf>
    <xf numFmtId="44" fontId="40" fillId="0" borderId="0" xfId="3" applyFont="1" applyAlignment="1">
      <alignment horizontal="center"/>
    </xf>
    <xf numFmtId="165" fontId="23" fillId="0" borderId="0" xfId="0" applyNumberFormat="1" applyFont="1" applyAlignment="1">
      <alignment horizontal="center"/>
    </xf>
    <xf numFmtId="0" fontId="31" fillId="0" borderId="0" xfId="0" applyFont="1"/>
    <xf numFmtId="0" fontId="35" fillId="0" borderId="0" xfId="0" applyFont="1"/>
    <xf numFmtId="0" fontId="23" fillId="0" borderId="0" xfId="0" applyFont="1" applyAlignment="1">
      <alignment horizontal="right" vertical="center"/>
    </xf>
    <xf numFmtId="0" fontId="46" fillId="0" borderId="0" xfId="0" applyFont="1"/>
    <xf numFmtId="0" fontId="0" fillId="0" borderId="34" xfId="0" applyBorder="1"/>
    <xf numFmtId="10" fontId="40" fillId="0" borderId="16" xfId="2" applyNumberFormat="1" applyFont="1" applyFill="1" applyBorder="1"/>
    <xf numFmtId="0" fontId="21" fillId="0" borderId="32" xfId="0" applyFont="1" applyBorder="1"/>
    <xf numFmtId="0" fontId="26" fillId="0" borderId="34" xfId="0" applyFont="1" applyBorder="1" applyAlignment="1">
      <alignment horizontal="right"/>
    </xf>
    <xf numFmtId="0" fontId="25" fillId="0" borderId="32" xfId="0" applyFont="1" applyBorder="1"/>
    <xf numFmtId="0" fontId="25" fillId="0" borderId="34" xfId="0" applyFont="1" applyBorder="1" applyAlignment="1">
      <alignment horizontal="right"/>
    </xf>
    <xf numFmtId="0" fontId="25" fillId="0" borderId="34" xfId="0" applyFont="1" applyBorder="1"/>
    <xf numFmtId="0" fontId="21" fillId="0" borderId="34" xfId="0" applyFont="1" applyBorder="1"/>
    <xf numFmtId="0" fontId="36" fillId="0" borderId="7" xfId="0" applyFont="1" applyBorder="1" applyAlignment="1">
      <alignment horizontal="center" vertical="center"/>
    </xf>
    <xf numFmtId="10" fontId="36" fillId="0" borderId="0" xfId="2" applyNumberFormat="1" applyFont="1" applyBorder="1" applyAlignment="1">
      <alignment horizontal="center" vertical="center"/>
    </xf>
    <xf numFmtId="10" fontId="36" fillId="0" borderId="13" xfId="2" applyNumberFormat="1" applyFont="1" applyBorder="1" applyAlignment="1">
      <alignment horizontal="center" vertical="center"/>
    </xf>
    <xf numFmtId="0" fontId="39" fillId="0" borderId="7" xfId="0" applyFont="1" applyBorder="1"/>
    <xf numFmtId="0" fontId="39" fillId="0" borderId="13" xfId="0" applyFont="1" applyBorder="1"/>
    <xf numFmtId="0" fontId="26" fillId="0" borderId="16" xfId="0" applyFont="1" applyBorder="1" applyAlignment="1">
      <alignment horizontal="center" vertical="center"/>
    </xf>
    <xf numFmtId="0" fontId="56" fillId="0" borderId="0" xfId="0" applyFont="1"/>
    <xf numFmtId="0" fontId="29" fillId="0" borderId="0" xfId="0" applyFont="1" applyAlignment="1">
      <alignment horizontal="center"/>
    </xf>
    <xf numFmtId="0" fontId="26" fillId="0" borderId="16" xfId="0" applyFont="1" applyBorder="1" applyAlignment="1">
      <alignment horizontal="right"/>
    </xf>
    <xf numFmtId="2" fontId="36" fillId="0" borderId="16" xfId="0" applyNumberFormat="1" applyFont="1" applyBorder="1" applyAlignment="1">
      <alignment horizontal="center"/>
    </xf>
    <xf numFmtId="43" fontId="36" fillId="0" borderId="0" xfId="1" applyFont="1" applyBorder="1" applyAlignment="1">
      <alignment horizontal="center" vertical="center"/>
    </xf>
    <xf numFmtId="43" fontId="36" fillId="0" borderId="0" xfId="1" applyFont="1" applyBorder="1" applyAlignment="1">
      <alignment vertical="center"/>
    </xf>
    <xf numFmtId="10" fontId="36" fillId="0" borderId="0" xfId="2" applyNumberFormat="1" applyFont="1" applyBorder="1" applyAlignment="1">
      <alignment vertical="center"/>
    </xf>
    <xf numFmtId="10" fontId="0" fillId="0" borderId="0" xfId="2" applyNumberFormat="1" applyFont="1"/>
    <xf numFmtId="10" fontId="36" fillId="0" borderId="0" xfId="2" applyNumberFormat="1" applyFont="1" applyFill="1" applyBorder="1" applyAlignment="1">
      <alignment horizontal="center" vertical="center"/>
    </xf>
    <xf numFmtId="0" fontId="36" fillId="0" borderId="30" xfId="0" applyFont="1" applyBorder="1"/>
    <xf numFmtId="0" fontId="36" fillId="0" borderId="21" xfId="0" applyFont="1" applyBorder="1"/>
    <xf numFmtId="0" fontId="36" fillId="0" borderId="23" xfId="0" applyFont="1" applyBorder="1"/>
    <xf numFmtId="0" fontId="21" fillId="0" borderId="24" xfId="0" applyFont="1" applyBorder="1"/>
    <xf numFmtId="10" fontId="30" fillId="0" borderId="3" xfId="2" applyNumberFormat="1" applyFont="1" applyBorder="1" applyAlignment="1">
      <alignment horizontal="center" vertical="center"/>
    </xf>
    <xf numFmtId="10" fontId="25" fillId="0" borderId="0" xfId="2" applyNumberFormat="1" applyFont="1" applyAlignment="1">
      <alignment horizontal="center"/>
    </xf>
    <xf numFmtId="0" fontId="57" fillId="0" borderId="0" xfId="0" applyFont="1"/>
    <xf numFmtId="0" fontId="33" fillId="0" borderId="0" xfId="0" applyFont="1"/>
    <xf numFmtId="164" fontId="23" fillId="0" borderId="0" xfId="1" applyNumberFormat="1" applyFont="1" applyFill="1" applyAlignment="1">
      <alignment horizontal="center"/>
    </xf>
    <xf numFmtId="164" fontId="23" fillId="0" borderId="0" xfId="1" applyNumberFormat="1" applyFont="1" applyFill="1" applyAlignment="1"/>
    <xf numFmtId="2" fontId="26" fillId="0" borderId="16" xfId="0" applyNumberFormat="1" applyFont="1" applyBorder="1" applyAlignment="1">
      <alignment horizontal="center" vertical="center"/>
    </xf>
    <xf numFmtId="10" fontId="26" fillId="0" borderId="16" xfId="2" applyNumberFormat="1" applyFont="1" applyBorder="1" applyAlignment="1">
      <alignment horizontal="center" vertical="center"/>
    </xf>
    <xf numFmtId="10" fontId="40" fillId="0" borderId="27" xfId="2" applyNumberFormat="1" applyFont="1" applyBorder="1" applyAlignment="1">
      <alignment horizontal="center" vertical="center"/>
    </xf>
    <xf numFmtId="0" fontId="23" fillId="0" borderId="0" xfId="0" applyFont="1" applyAlignment="1">
      <alignment horizontal="center" vertical="center"/>
    </xf>
    <xf numFmtId="10" fontId="30" fillId="0" borderId="0" xfId="2" applyNumberFormat="1" applyFont="1" applyBorder="1" applyAlignment="1">
      <alignment horizontal="center" vertical="center"/>
    </xf>
    <xf numFmtId="0" fontId="30" fillId="0" borderId="8" xfId="0" applyFont="1" applyBorder="1" applyAlignment="1">
      <alignment horizontal="right" vertical="center"/>
    </xf>
    <xf numFmtId="0" fontId="32" fillId="0" borderId="17" xfId="0" applyFont="1" applyBorder="1" applyAlignment="1">
      <alignment horizontal="center"/>
    </xf>
    <xf numFmtId="0" fontId="23" fillId="0" borderId="2" xfId="0" quotePrefix="1" applyFont="1" applyBorder="1" applyAlignment="1">
      <alignment horizontal="center"/>
    </xf>
    <xf numFmtId="0" fontId="6" fillId="0" borderId="0" xfId="0" applyFont="1"/>
    <xf numFmtId="0" fontId="58" fillId="0" borderId="0" xfId="0" applyFont="1" applyAlignment="1">
      <alignment horizontal="center"/>
    </xf>
    <xf numFmtId="0" fontId="39" fillId="0" borderId="0" xfId="0" applyFont="1" applyAlignment="1">
      <alignment horizontal="left"/>
    </xf>
    <xf numFmtId="0" fontId="55" fillId="0" borderId="0" xfId="0" applyFont="1" applyAlignment="1">
      <alignment horizontal="left"/>
    </xf>
    <xf numFmtId="0" fontId="59" fillId="0" borderId="0" xfId="0" applyFont="1"/>
    <xf numFmtId="0" fontId="39" fillId="0" borderId="0" xfId="0" applyFont="1" applyAlignment="1">
      <alignment horizontal="right"/>
    </xf>
    <xf numFmtId="0" fontId="39" fillId="0" borderId="2" xfId="0" applyFont="1" applyBorder="1" applyAlignment="1">
      <alignment horizontal="center"/>
    </xf>
    <xf numFmtId="0" fontId="55" fillId="0" borderId="0" xfId="0" applyFont="1"/>
    <xf numFmtId="10" fontId="30" fillId="0" borderId="10" xfId="2" applyNumberFormat="1" applyFont="1" applyFill="1" applyBorder="1" applyAlignment="1">
      <alignment horizontal="center" vertical="center"/>
    </xf>
    <xf numFmtId="168" fontId="40" fillId="0" borderId="16" xfId="1" applyNumberFormat="1" applyFont="1" applyFill="1" applyBorder="1"/>
    <xf numFmtId="15" fontId="36" fillId="0" borderId="24" xfId="0" applyNumberFormat="1" applyFont="1" applyBorder="1" applyAlignment="1">
      <alignment horizontal="center"/>
    </xf>
    <xf numFmtId="15" fontId="36" fillId="0" borderId="12" xfId="0" applyNumberFormat="1" applyFont="1" applyBorder="1" applyAlignment="1">
      <alignment horizontal="center"/>
    </xf>
    <xf numFmtId="15" fontId="36" fillId="0" borderId="13" xfId="0" applyNumberFormat="1" applyFont="1" applyBorder="1" applyAlignment="1">
      <alignment horizontal="center"/>
    </xf>
    <xf numFmtId="0" fontId="36" fillId="0" borderId="13" xfId="0" applyFont="1" applyBorder="1" applyAlignment="1">
      <alignment horizontal="center"/>
    </xf>
    <xf numFmtId="0" fontId="54" fillId="0" borderId="0" xfId="0" applyFont="1" applyAlignment="1">
      <alignment horizontal="center" vertical="center"/>
    </xf>
    <xf numFmtId="0" fontId="54" fillId="0" borderId="1" xfId="0" applyFont="1" applyBorder="1" applyAlignment="1">
      <alignment horizontal="center" vertical="center"/>
    </xf>
    <xf numFmtId="0" fontId="0" fillId="0" borderId="1" xfId="0" applyBorder="1"/>
    <xf numFmtId="0" fontId="36" fillId="0" borderId="1" xfId="0" applyFont="1" applyBorder="1" applyAlignment="1">
      <alignment horizontal="center"/>
    </xf>
    <xf numFmtId="10" fontId="40" fillId="0" borderId="1" xfId="2" applyNumberFormat="1" applyFont="1" applyFill="1" applyBorder="1" applyAlignment="1">
      <alignment horizontal="center"/>
    </xf>
    <xf numFmtId="43" fontId="40" fillId="0" borderId="1" xfId="1" applyFont="1" applyFill="1" applyBorder="1" applyAlignment="1">
      <alignment horizontal="center"/>
    </xf>
    <xf numFmtId="43" fontId="40" fillId="0" borderId="0" xfId="1" applyFont="1" applyAlignment="1">
      <alignment horizontal="center"/>
    </xf>
    <xf numFmtId="43" fontId="40" fillId="0" borderId="0" xfId="1" applyFont="1" applyFill="1" applyAlignment="1">
      <alignment horizontal="center"/>
    </xf>
    <xf numFmtId="0" fontId="54" fillId="0" borderId="0" xfId="0" applyFont="1" applyAlignment="1">
      <alignment horizontal="right"/>
    </xf>
    <xf numFmtId="2" fontId="54" fillId="0" borderId="0" xfId="0" applyNumberFormat="1" applyFont="1"/>
    <xf numFmtId="0" fontId="36" fillId="0" borderId="5" xfId="0" applyFont="1" applyBorder="1" applyAlignment="1">
      <alignment horizontal="center"/>
    </xf>
    <xf numFmtId="0" fontId="36" fillId="0" borderId="24" xfId="0" applyFont="1" applyBorder="1" applyAlignment="1">
      <alignment horizontal="center"/>
    </xf>
    <xf numFmtId="0" fontId="36" fillId="0" borderId="6" xfId="0" applyFont="1" applyBorder="1" applyAlignment="1">
      <alignment horizontal="center"/>
    </xf>
    <xf numFmtId="164" fontId="40" fillId="0" borderId="10" xfId="1" applyNumberFormat="1" applyFont="1" applyFill="1" applyBorder="1" applyAlignment="1">
      <alignment horizontal="center"/>
    </xf>
    <xf numFmtId="164" fontId="40" fillId="0" borderId="3" xfId="1" applyNumberFormat="1" applyFont="1" applyFill="1" applyBorder="1" applyAlignment="1">
      <alignment horizontal="center"/>
    </xf>
    <xf numFmtId="164" fontId="40" fillId="0" borderId="13" xfId="1" applyNumberFormat="1" applyFont="1" applyFill="1" applyBorder="1" applyAlignment="1">
      <alignment horizontal="center"/>
    </xf>
    <xf numFmtId="169" fontId="23" fillId="0" borderId="26" xfId="0" applyNumberFormat="1" applyFont="1" applyBorder="1" applyAlignment="1">
      <alignment horizontal="center" vertical="center"/>
    </xf>
    <xf numFmtId="0" fontId="24" fillId="0" borderId="0" xfId="0" applyFont="1" applyAlignment="1">
      <alignment horizontal="center"/>
    </xf>
    <xf numFmtId="10" fontId="40" fillId="0" borderId="0" xfId="2" applyNumberFormat="1" applyFont="1" applyFill="1" applyBorder="1" applyAlignment="1">
      <alignment horizontal="center"/>
    </xf>
    <xf numFmtId="10" fontId="40" fillId="0" borderId="0" xfId="2" applyNumberFormat="1" applyFont="1" applyBorder="1" applyAlignment="1">
      <alignment horizontal="center" vertical="center"/>
    </xf>
    <xf numFmtId="10" fontId="30" fillId="0" borderId="3" xfId="2" applyNumberFormat="1" applyFont="1" applyFill="1" applyBorder="1" applyAlignment="1">
      <alignment horizontal="center" vertical="center"/>
    </xf>
    <xf numFmtId="0" fontId="26" fillId="0" borderId="19" xfId="0" applyFont="1" applyBorder="1" applyAlignment="1">
      <alignment horizontal="center" vertical="center"/>
    </xf>
    <xf numFmtId="0" fontId="30" fillId="0" borderId="32" xfId="0" applyFont="1" applyBorder="1"/>
    <xf numFmtId="0" fontId="21" fillId="0" borderId="33" xfId="0" applyFont="1" applyBorder="1"/>
    <xf numFmtId="0" fontId="36" fillId="0" borderId="32" xfId="0" applyFont="1" applyBorder="1"/>
    <xf numFmtId="0" fontId="36" fillId="0" borderId="34" xfId="0" applyFont="1" applyBorder="1"/>
    <xf numFmtId="0" fontId="40" fillId="3" borderId="20" xfId="0" applyFont="1" applyFill="1" applyBorder="1"/>
    <xf numFmtId="0" fontId="36" fillId="0" borderId="32" xfId="0" applyFont="1" applyBorder="1" applyAlignment="1">
      <alignment horizontal="right"/>
    </xf>
    <xf numFmtId="43" fontId="36" fillId="0" borderId="0" xfId="0" applyNumberFormat="1" applyFont="1"/>
    <xf numFmtId="0" fontId="37" fillId="0" borderId="35"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62" fillId="0" borderId="0" xfId="0" applyFont="1" applyAlignment="1">
      <alignment horizontal="left" vertical="top" wrapText="1"/>
    </xf>
    <xf numFmtId="0" fontId="30" fillId="0" borderId="28" xfId="0" applyFont="1" applyBorder="1" applyAlignment="1">
      <alignment horizontal="center"/>
    </xf>
    <xf numFmtId="0" fontId="39" fillId="3" borderId="26" xfId="0" applyFont="1" applyFill="1" applyBorder="1" applyAlignment="1">
      <alignment horizontal="center"/>
    </xf>
    <xf numFmtId="0" fontId="21" fillId="3" borderId="26" xfId="0" applyFont="1" applyFill="1" applyBorder="1" applyAlignment="1">
      <alignment horizontal="center"/>
    </xf>
    <xf numFmtId="0" fontId="39" fillId="3" borderId="27" xfId="0" applyFont="1" applyFill="1" applyBorder="1" applyAlignment="1">
      <alignment horizontal="center"/>
    </xf>
    <xf numFmtId="0" fontId="21" fillId="3" borderId="27" xfId="0" applyFont="1" applyFill="1" applyBorder="1" applyAlignment="1">
      <alignment horizontal="center"/>
    </xf>
    <xf numFmtId="0" fontId="21" fillId="3" borderId="29" xfId="0" applyFont="1" applyFill="1" applyBorder="1" applyAlignment="1">
      <alignment horizontal="center"/>
    </xf>
    <xf numFmtId="0" fontId="39" fillId="3" borderId="25" xfId="0" applyFont="1" applyFill="1" applyBorder="1" applyAlignment="1">
      <alignment horizontal="center"/>
    </xf>
    <xf numFmtId="0" fontId="21" fillId="3" borderId="30" xfId="0" applyFont="1" applyFill="1" applyBorder="1" applyAlignment="1">
      <alignment horizontal="center"/>
    </xf>
    <xf numFmtId="0" fontId="21" fillId="3" borderId="21" xfId="0" applyFont="1" applyFill="1" applyBorder="1" applyAlignment="1">
      <alignment horizontal="center"/>
    </xf>
    <xf numFmtId="0" fontId="21" fillId="3" borderId="23" xfId="0" applyFont="1" applyFill="1" applyBorder="1" applyAlignment="1">
      <alignment horizontal="center"/>
    </xf>
    <xf numFmtId="164" fontId="24" fillId="0" borderId="0" xfId="1" applyNumberFormat="1" applyFont="1" applyFill="1" applyAlignment="1">
      <alignment horizontal="center"/>
    </xf>
    <xf numFmtId="0" fontId="0" fillId="0" borderId="4" xfId="0" applyBorder="1"/>
    <xf numFmtId="0" fontId="0" fillId="0" borderId="33" xfId="0" applyBorder="1"/>
    <xf numFmtId="0" fontId="23" fillId="0" borderId="1" xfId="0" applyFont="1" applyBorder="1" applyAlignment="1">
      <alignment horizontal="right"/>
    </xf>
    <xf numFmtId="164" fontId="24" fillId="0" borderId="1" xfId="1" applyNumberFormat="1" applyFont="1" applyFill="1" applyBorder="1" applyAlignment="1">
      <alignment horizontal="center"/>
    </xf>
    <xf numFmtId="10" fontId="24" fillId="0" borderId="1" xfId="2" applyNumberFormat="1" applyFont="1" applyFill="1" applyBorder="1" applyAlignment="1">
      <alignment horizontal="center" vertical="center"/>
    </xf>
    <xf numFmtId="1" fontId="24" fillId="0" borderId="0" xfId="0" applyNumberFormat="1" applyFont="1" applyAlignment="1">
      <alignment horizontal="center"/>
    </xf>
    <xf numFmtId="44" fontId="24" fillId="0" borderId="0" xfId="3" applyFont="1" applyFill="1" applyAlignment="1">
      <alignment horizontal="center"/>
    </xf>
    <xf numFmtId="10" fontId="24" fillId="0" borderId="0" xfId="2" applyNumberFormat="1" applyFont="1" applyFill="1" applyAlignment="1">
      <alignment horizontal="right" vertical="center"/>
    </xf>
    <xf numFmtId="10" fontId="24" fillId="0" borderId="1" xfId="2" applyNumberFormat="1" applyFont="1" applyFill="1" applyBorder="1" applyAlignment="1">
      <alignment horizontal="right" vertical="center"/>
    </xf>
    <xf numFmtId="43" fontId="24" fillId="0" borderId="0" xfId="1" applyFont="1" applyFill="1" applyAlignment="1">
      <alignment horizontal="center" vertical="center"/>
    </xf>
    <xf numFmtId="43" fontId="26" fillId="0" borderId="16" xfId="1" applyFont="1" applyFill="1" applyBorder="1" applyAlignment="1">
      <alignment horizontal="center" vertical="center"/>
    </xf>
    <xf numFmtId="43" fontId="24" fillId="0" borderId="1" xfId="1" applyFont="1" applyFill="1" applyBorder="1" applyAlignment="1">
      <alignment horizontal="right" vertical="center"/>
    </xf>
    <xf numFmtId="3" fontId="40" fillId="0" borderId="10" xfId="0" applyNumberFormat="1" applyFont="1" applyBorder="1"/>
    <xf numFmtId="165" fontId="24" fillId="0" borderId="0" xfId="3" applyNumberFormat="1" applyFont="1" applyFill="1" applyAlignment="1">
      <alignment horizontal="right"/>
    </xf>
    <xf numFmtId="3" fontId="40" fillId="0" borderId="3" xfId="0" applyNumberFormat="1" applyFont="1" applyBorder="1"/>
    <xf numFmtId="170" fontId="21" fillId="0" borderId="0" xfId="0" applyNumberFormat="1" applyFont="1"/>
    <xf numFmtId="3" fontId="40" fillId="0" borderId="0" xfId="0" applyNumberFormat="1" applyFont="1"/>
    <xf numFmtId="0" fontId="40" fillId="0" borderId="0" xfId="0" applyFont="1" applyAlignment="1">
      <alignment horizontal="left" vertical="center"/>
    </xf>
    <xf numFmtId="2" fontId="24" fillId="0" borderId="0" xfId="0" applyNumberFormat="1" applyFont="1" applyAlignment="1">
      <alignment horizontal="right" vertical="center"/>
    </xf>
    <xf numFmtId="164" fontId="40" fillId="0" borderId="2" xfId="1" applyNumberFormat="1" applyFont="1" applyFill="1" applyBorder="1"/>
    <xf numFmtId="0" fontId="36" fillId="0" borderId="1" xfId="0" applyFont="1" applyBorder="1" applyAlignment="1">
      <alignment horizontal="right"/>
    </xf>
    <xf numFmtId="10" fontId="36" fillId="0" borderId="1" xfId="2" applyNumberFormat="1" applyFont="1" applyBorder="1"/>
    <xf numFmtId="2" fontId="24" fillId="0" borderId="1" xfId="0" applyNumberFormat="1" applyFont="1" applyBorder="1" applyAlignment="1">
      <alignment horizontal="right" vertical="center"/>
    </xf>
    <xf numFmtId="165" fontId="24" fillId="0" borderId="0" xfId="3" applyNumberFormat="1" applyFont="1" applyFill="1" applyAlignment="1">
      <alignment horizontal="center"/>
    </xf>
    <xf numFmtId="166" fontId="24" fillId="0" borderId="0" xfId="1" applyNumberFormat="1" applyFont="1" applyFill="1" applyAlignment="1">
      <alignment horizontal="center" vertical="center"/>
    </xf>
    <xf numFmtId="10" fontId="30" fillId="0" borderId="0" xfId="2" applyNumberFormat="1" applyFont="1" applyFill="1" applyBorder="1" applyAlignment="1">
      <alignment horizontal="center" vertical="center"/>
    </xf>
    <xf numFmtId="0" fontId="21" fillId="0" borderId="0" xfId="0" applyFont="1" applyAlignment="1">
      <alignment horizontal="right"/>
    </xf>
    <xf numFmtId="0" fontId="21" fillId="0" borderId="21" xfId="0" applyFont="1" applyBorder="1"/>
    <xf numFmtId="169" fontId="23" fillId="0" borderId="21" xfId="0" applyNumberFormat="1" applyFont="1" applyBorder="1" applyAlignment="1">
      <alignment horizontal="center" vertical="center"/>
    </xf>
    <xf numFmtId="0" fontId="21" fillId="0" borderId="23" xfId="0" applyFont="1" applyBorder="1"/>
    <xf numFmtId="10" fontId="30" fillId="0" borderId="0" xfId="2" applyNumberFormat="1" applyFont="1" applyAlignment="1">
      <alignment horizontal="left"/>
    </xf>
    <xf numFmtId="10" fontId="25" fillId="0" borderId="0" xfId="2" applyNumberFormat="1" applyFont="1" applyFill="1" applyAlignment="1">
      <alignment horizontal="center"/>
    </xf>
    <xf numFmtId="0" fontId="63" fillId="0" borderId="0" xfId="0" applyFont="1"/>
    <xf numFmtId="10" fontId="36" fillId="0" borderId="26" xfId="2" applyNumberFormat="1" applyFont="1" applyFill="1" applyBorder="1" applyAlignment="1">
      <alignment horizontal="center"/>
    </xf>
    <xf numFmtId="10" fontId="49" fillId="0" borderId="16" xfId="2" applyNumberFormat="1" applyFont="1" applyFill="1" applyBorder="1" applyAlignment="1">
      <alignment horizontal="center"/>
    </xf>
    <xf numFmtId="0" fontId="64" fillId="0" borderId="0" xfId="0" applyFont="1"/>
    <xf numFmtId="0" fontId="38" fillId="0" borderId="28" xfId="0" applyFont="1" applyBorder="1"/>
    <xf numFmtId="10" fontId="38" fillId="0" borderId="28" xfId="2" applyNumberFormat="1" applyFont="1" applyFill="1" applyBorder="1"/>
    <xf numFmtId="2" fontId="38" fillId="0" borderId="28" xfId="0" applyNumberFormat="1" applyFont="1" applyBorder="1"/>
    <xf numFmtId="2" fontId="26" fillId="0" borderId="0" xfId="0" applyNumberFormat="1" applyFont="1" applyAlignment="1">
      <alignment horizontal="center"/>
    </xf>
    <xf numFmtId="10" fontId="26" fillId="0" borderId="0" xfId="2" applyNumberFormat="1" applyFont="1" applyFill="1" applyBorder="1" applyAlignment="1">
      <alignment horizontal="center"/>
    </xf>
    <xf numFmtId="3" fontId="36" fillId="0" borderId="10" xfId="0" applyNumberFormat="1" applyFont="1" applyBorder="1" applyAlignment="1">
      <alignment horizontal="right" vertical="center"/>
    </xf>
    <xf numFmtId="0" fontId="23" fillId="0" borderId="7" xfId="0" applyFont="1" applyBorder="1"/>
    <xf numFmtId="0" fontId="24" fillId="0" borderId="8" xfId="0" applyFont="1" applyBorder="1"/>
    <xf numFmtId="0" fontId="37" fillId="0" borderId="17" xfId="0" applyFont="1" applyBorder="1" applyAlignment="1">
      <alignment horizontal="center"/>
    </xf>
    <xf numFmtId="0" fontId="66" fillId="0" borderId="0" xfId="0" applyFont="1"/>
    <xf numFmtId="0" fontId="22" fillId="0" borderId="20" xfId="0" applyFont="1" applyBorder="1"/>
    <xf numFmtId="0" fontId="15" fillId="0" borderId="0" xfId="0" applyFont="1" applyAlignment="1">
      <alignment horizontal="center"/>
    </xf>
    <xf numFmtId="0" fontId="67" fillId="0" borderId="0" xfId="0" applyFont="1"/>
    <xf numFmtId="0" fontId="56" fillId="0" borderId="20" xfId="0" applyFont="1" applyBorder="1"/>
    <xf numFmtId="164" fontId="48" fillId="0" borderId="0" xfId="1" applyNumberFormat="1" applyFont="1" applyFill="1" applyBorder="1"/>
    <xf numFmtId="166" fontId="24" fillId="0" borderId="1" xfId="1" applyNumberFormat="1" applyFont="1" applyFill="1" applyBorder="1" applyAlignment="1">
      <alignment horizontal="center" vertical="center"/>
    </xf>
    <xf numFmtId="43" fontId="24" fillId="0" borderId="1" xfId="1" applyFont="1" applyFill="1" applyBorder="1" applyAlignment="1">
      <alignment horizontal="center" vertical="center"/>
    </xf>
    <xf numFmtId="164" fontId="36" fillId="0" borderId="0" xfId="1" applyNumberFormat="1" applyFont="1"/>
    <xf numFmtId="164" fontId="36" fillId="0" borderId="10" xfId="1" applyNumberFormat="1" applyFont="1" applyFill="1" applyBorder="1"/>
    <xf numFmtId="164" fontId="39" fillId="0" borderId="0" xfId="1" applyNumberFormat="1" applyFont="1"/>
    <xf numFmtId="0" fontId="37" fillId="0" borderId="0" xfId="0" applyFont="1" applyAlignment="1">
      <alignment horizontal="center"/>
    </xf>
    <xf numFmtId="2" fontId="40" fillId="0" borderId="3" xfId="0" applyNumberFormat="1" applyFont="1" applyBorder="1" applyAlignment="1">
      <alignment horizontal="center"/>
    </xf>
    <xf numFmtId="0" fontId="22" fillId="0" borderId="20" xfId="0" applyFont="1" applyBorder="1" applyAlignment="1">
      <alignment horizontal="left"/>
    </xf>
    <xf numFmtId="0" fontId="40" fillId="0" borderId="3" xfId="0" applyFont="1" applyBorder="1" applyAlignment="1">
      <alignment horizontal="center"/>
    </xf>
    <xf numFmtId="2" fontId="24" fillId="0" borderId="0" xfId="0" applyNumberFormat="1" applyFont="1" applyAlignment="1">
      <alignment horizontal="right"/>
    </xf>
    <xf numFmtId="10" fontId="40" fillId="0" borderId="28" xfId="2" applyNumberFormat="1" applyFont="1" applyFill="1" applyBorder="1" applyAlignment="1">
      <alignment horizontal="center"/>
    </xf>
    <xf numFmtId="0" fontId="40" fillId="0" borderId="18" xfId="0" applyFont="1" applyBorder="1"/>
    <xf numFmtId="10" fontId="24" fillId="0" borderId="1" xfId="2" applyNumberFormat="1" applyFont="1" applyBorder="1" applyAlignment="1">
      <alignment horizontal="right" vertical="center"/>
    </xf>
    <xf numFmtId="0" fontId="30" fillId="0" borderId="3" xfId="0" applyFont="1" applyBorder="1" applyAlignment="1">
      <alignment horizontal="center"/>
    </xf>
    <xf numFmtId="0" fontId="40" fillId="3" borderId="22" xfId="0" applyFont="1" applyFill="1" applyBorder="1"/>
    <xf numFmtId="164" fontId="0" fillId="0" borderId="0" xfId="1" applyNumberFormat="1" applyFont="1"/>
    <xf numFmtId="165" fontId="23" fillId="0" borderId="0" xfId="3" applyNumberFormat="1" applyFont="1"/>
    <xf numFmtId="16" fontId="21" fillId="0" borderId="0" xfId="0" applyNumberFormat="1" applyFont="1"/>
    <xf numFmtId="17" fontId="21" fillId="0" borderId="0" xfId="0" applyNumberFormat="1" applyFont="1"/>
    <xf numFmtId="16" fontId="23" fillId="0" borderId="0" xfId="0" applyNumberFormat="1" applyFont="1" applyAlignment="1">
      <alignment horizontal="right"/>
    </xf>
    <xf numFmtId="0" fontId="24" fillId="0" borderId="7" xfId="0" applyFont="1" applyBorder="1"/>
    <xf numFmtId="10" fontId="40" fillId="0" borderId="0" xfId="2" applyNumberFormat="1" applyFont="1" applyFill="1" applyAlignment="1">
      <alignment horizontal="right"/>
    </xf>
    <xf numFmtId="10" fontId="23" fillId="0" borderId="0" xfId="0" applyNumberFormat="1" applyFont="1" applyAlignment="1">
      <alignment horizontal="right"/>
    </xf>
    <xf numFmtId="0" fontId="38" fillId="0" borderId="16" xfId="0" applyFont="1" applyBorder="1" applyAlignment="1">
      <alignment horizontal="center"/>
    </xf>
    <xf numFmtId="10" fontId="26" fillId="0" borderId="16" xfId="2" applyNumberFormat="1" applyFont="1" applyFill="1" applyBorder="1" applyAlignment="1">
      <alignment horizontal="center"/>
    </xf>
    <xf numFmtId="10" fontId="24" fillId="0" borderId="0" xfId="0" applyNumberFormat="1" applyFont="1" applyAlignment="1">
      <alignment horizontal="center"/>
    </xf>
    <xf numFmtId="10" fontId="24" fillId="0" borderId="0" xfId="2" applyNumberFormat="1" applyFont="1" applyAlignment="1">
      <alignment horizontal="right"/>
    </xf>
    <xf numFmtId="10" fontId="24" fillId="0" borderId="4" xfId="2" applyNumberFormat="1" applyFont="1" applyFill="1" applyBorder="1" applyAlignment="1">
      <alignment horizontal="right"/>
    </xf>
    <xf numFmtId="10" fontId="24" fillId="0" borderId="4" xfId="2" applyNumberFormat="1" applyFont="1" applyBorder="1" applyAlignment="1">
      <alignment horizontal="right"/>
    </xf>
    <xf numFmtId="10" fontId="23" fillId="0" borderId="0" xfId="2" applyNumberFormat="1" applyFont="1" applyFill="1" applyAlignment="1">
      <alignment horizontal="right" vertical="center"/>
    </xf>
    <xf numFmtId="10" fontId="23" fillId="0" borderId="0" xfId="2" applyNumberFormat="1" applyFont="1" applyFill="1" applyBorder="1" applyAlignment="1">
      <alignment horizontal="right" vertical="center"/>
    </xf>
    <xf numFmtId="10" fontId="25" fillId="0" borderId="16" xfId="2" applyNumberFormat="1" applyFont="1" applyFill="1" applyBorder="1"/>
    <xf numFmtId="10" fontId="25" fillId="0" borderId="16" xfId="2" applyNumberFormat="1" applyFont="1" applyFill="1" applyBorder="1" applyAlignment="1">
      <alignment horizontal="center"/>
    </xf>
    <xf numFmtId="2" fontId="38" fillId="0" borderId="18" xfId="0" applyNumberFormat="1" applyFont="1" applyBorder="1"/>
    <xf numFmtId="43" fontId="38" fillId="0" borderId="28" xfId="1" applyFont="1" applyFill="1" applyBorder="1"/>
    <xf numFmtId="2" fontId="26" fillId="0" borderId="16" xfId="0" applyNumberFormat="1" applyFont="1" applyBorder="1" applyAlignment="1">
      <alignment horizontal="center"/>
    </xf>
    <xf numFmtId="2" fontId="36" fillId="0" borderId="34" xfId="0" applyNumberFormat="1" applyFont="1" applyBorder="1" applyAlignment="1">
      <alignment horizontal="center"/>
    </xf>
    <xf numFmtId="43" fontId="40" fillId="0" borderId="0" xfId="1" applyFont="1" applyFill="1" applyAlignment="1">
      <alignment horizontal="center" vertical="center"/>
    </xf>
    <xf numFmtId="43" fontId="40" fillId="0" borderId="1" xfId="1" applyFont="1" applyFill="1" applyBorder="1" applyAlignment="1">
      <alignment horizontal="center" vertical="center"/>
    </xf>
    <xf numFmtId="43" fontId="36" fillId="0" borderId="0" xfId="1" applyFont="1" applyFill="1" applyAlignment="1">
      <alignment horizontal="center"/>
    </xf>
    <xf numFmtId="2" fontId="40" fillId="0" borderId="0" xfId="0" applyNumberFormat="1" applyFont="1" applyAlignment="1">
      <alignment horizontal="right"/>
    </xf>
    <xf numFmtId="2" fontId="40" fillId="0" borderId="4" xfId="0" applyNumberFormat="1" applyFont="1" applyBorder="1" applyAlignment="1">
      <alignment horizontal="right"/>
    </xf>
    <xf numFmtId="10" fontId="24" fillId="0" borderId="0" xfId="0" applyNumberFormat="1" applyFont="1" applyAlignment="1">
      <alignment horizontal="right"/>
    </xf>
    <xf numFmtId="164" fontId="36" fillId="0" borderId="0" xfId="1" applyNumberFormat="1" applyFont="1" applyFill="1"/>
    <xf numFmtId="0" fontId="36" fillId="4" borderId="38" xfId="0" applyFont="1" applyFill="1" applyBorder="1"/>
    <xf numFmtId="0" fontId="36" fillId="4" borderId="20" xfId="0" applyFont="1" applyFill="1" applyBorder="1"/>
    <xf numFmtId="0" fontId="40" fillId="4" borderId="20" xfId="0" applyFont="1" applyFill="1" applyBorder="1"/>
    <xf numFmtId="10" fontId="40" fillId="4" borderId="38" xfId="2" applyNumberFormat="1" applyFont="1" applyFill="1" applyBorder="1" applyAlignment="1">
      <alignment horizontal="center"/>
    </xf>
    <xf numFmtId="10" fontId="40" fillId="4" borderId="20" xfId="2" applyNumberFormat="1" applyFont="1" applyFill="1" applyBorder="1" applyAlignment="1">
      <alignment horizontal="center"/>
    </xf>
    <xf numFmtId="0" fontId="21" fillId="0" borderId="20" xfId="0" applyFont="1" applyBorder="1"/>
    <xf numFmtId="10" fontId="21" fillId="0" borderId="20" xfId="2" applyNumberFormat="1" applyFont="1" applyFill="1" applyBorder="1"/>
    <xf numFmtId="10" fontId="21" fillId="0" borderId="20" xfId="0" applyNumberFormat="1" applyFont="1" applyBorder="1"/>
    <xf numFmtId="0" fontId="21" fillId="0" borderId="8" xfId="0" applyFont="1" applyBorder="1"/>
    <xf numFmtId="0" fontId="21" fillId="0" borderId="14" xfId="0" applyFont="1" applyBorder="1"/>
    <xf numFmtId="0" fontId="0" fillId="0" borderId="8" xfId="0" applyBorder="1"/>
    <xf numFmtId="0" fontId="0" fillId="0" borderId="14" xfId="0" applyBorder="1"/>
    <xf numFmtId="0" fontId="36" fillId="4" borderId="26" xfId="0" applyFont="1" applyFill="1" applyBorder="1"/>
    <xf numFmtId="0" fontId="40" fillId="4" borderId="26" xfId="0" applyFont="1" applyFill="1" applyBorder="1"/>
    <xf numFmtId="0" fontId="40" fillId="3" borderId="26" xfId="0" applyFont="1" applyFill="1" applyBorder="1"/>
    <xf numFmtId="10" fontId="40" fillId="3" borderId="20" xfId="2" applyNumberFormat="1" applyFont="1" applyFill="1" applyBorder="1" applyAlignment="1">
      <alignment horizontal="center"/>
    </xf>
    <xf numFmtId="10" fontId="26" fillId="0" borderId="16" xfId="2" applyNumberFormat="1" applyFont="1" applyFill="1" applyBorder="1" applyAlignment="1">
      <alignment horizontal="center" vertical="center"/>
    </xf>
    <xf numFmtId="10" fontId="44" fillId="0" borderId="16" xfId="2" applyNumberFormat="1" applyFont="1" applyFill="1" applyBorder="1" applyAlignment="1">
      <alignment horizontal="center"/>
    </xf>
    <xf numFmtId="10" fontId="26" fillId="0" borderId="16" xfId="2" applyNumberFormat="1" applyFont="1" applyFill="1" applyBorder="1" applyAlignment="1">
      <alignment horizontal="right"/>
    </xf>
    <xf numFmtId="10" fontId="26" fillId="0" borderId="34" xfId="0" applyNumberFormat="1" applyFont="1" applyBorder="1"/>
    <xf numFmtId="10" fontId="69" fillId="0" borderId="0" xfId="2" applyNumberFormat="1" applyFont="1" applyFill="1" applyAlignment="1">
      <alignment horizontal="center"/>
    </xf>
    <xf numFmtId="171" fontId="26" fillId="0" borderId="16" xfId="2" applyNumberFormat="1" applyFont="1" applyFill="1" applyBorder="1" applyAlignment="1">
      <alignment horizontal="center"/>
    </xf>
    <xf numFmtId="0" fontId="0" fillId="0" borderId="20" xfId="0" applyBorder="1"/>
    <xf numFmtId="10" fontId="40" fillId="3" borderId="22" xfId="2" applyNumberFormat="1" applyFont="1" applyFill="1" applyBorder="1" applyAlignment="1">
      <alignment horizontal="center"/>
    </xf>
    <xf numFmtId="10" fontId="29" fillId="0" borderId="0" xfId="2" applyNumberFormat="1" applyFont="1" applyFill="1" applyAlignment="1">
      <alignment horizontal="center"/>
    </xf>
    <xf numFmtId="10" fontId="69" fillId="0" borderId="0" xfId="2" applyNumberFormat="1" applyFont="1" applyAlignment="1">
      <alignment horizontal="center"/>
    </xf>
    <xf numFmtId="0" fontId="49" fillId="0" borderId="0" xfId="0" applyFont="1"/>
    <xf numFmtId="0" fontId="24" fillId="0" borderId="29" xfId="0" applyFont="1" applyBorder="1" applyAlignment="1">
      <alignment horizontal="right"/>
    </xf>
    <xf numFmtId="0" fontId="24" fillId="0" borderId="30" xfId="0" applyFont="1" applyBorder="1" applyAlignment="1">
      <alignment horizontal="left"/>
    </xf>
    <xf numFmtId="0" fontId="24" fillId="0" borderId="20" xfId="0" applyFont="1" applyBorder="1" applyAlignment="1">
      <alignment horizontal="right"/>
    </xf>
    <xf numFmtId="0" fontId="24" fillId="0" borderId="21" xfId="0" applyFont="1" applyBorder="1" applyAlignment="1">
      <alignment horizontal="left"/>
    </xf>
    <xf numFmtId="0" fontId="24" fillId="0" borderId="22" xfId="0" applyFont="1" applyBorder="1" applyAlignment="1">
      <alignment horizontal="right"/>
    </xf>
    <xf numFmtId="0" fontId="24" fillId="0" borderId="23" xfId="0" applyFont="1" applyBorder="1" applyAlignment="1">
      <alignment horizontal="left"/>
    </xf>
    <xf numFmtId="10" fontId="30" fillId="0" borderId="16" xfId="2" applyNumberFormat="1" applyFont="1" applyFill="1" applyBorder="1" applyAlignment="1">
      <alignment horizontal="center"/>
    </xf>
    <xf numFmtId="10" fontId="24" fillId="0" borderId="0" xfId="1" applyNumberFormat="1" applyFont="1" applyFill="1" applyAlignment="1">
      <alignment horizontal="right" vertical="center"/>
    </xf>
    <xf numFmtId="10" fontId="24" fillId="0" borderId="1" xfId="1" applyNumberFormat="1" applyFont="1" applyFill="1" applyBorder="1" applyAlignment="1">
      <alignment horizontal="right" vertical="center"/>
    </xf>
    <xf numFmtId="0" fontId="50" fillId="0" borderId="0" xfId="6" applyFont="1"/>
    <xf numFmtId="0" fontId="50" fillId="0" borderId="0" xfId="6" applyFont="1" applyFill="1" applyAlignment="1" applyProtection="1"/>
    <xf numFmtId="0" fontId="71" fillId="0" borderId="30" xfId="0" applyFont="1" applyBorder="1" applyAlignment="1">
      <alignment horizontal="right"/>
    </xf>
    <xf numFmtId="0" fontId="71" fillId="0" borderId="21" xfId="0" applyFont="1" applyBorder="1" applyAlignment="1">
      <alignment horizontal="center"/>
    </xf>
    <xf numFmtId="0" fontId="71" fillId="0" borderId="23" xfId="0" applyFont="1" applyBorder="1" applyAlignment="1">
      <alignment horizontal="center"/>
    </xf>
    <xf numFmtId="10" fontId="40" fillId="0" borderId="0" xfId="2" applyNumberFormat="1" applyFont="1" applyFill="1" applyBorder="1" applyAlignment="1">
      <alignment horizontal="center" vertical="center"/>
    </xf>
    <xf numFmtId="10" fontId="40" fillId="0" borderId="13" xfId="2" applyNumberFormat="1" applyFont="1" applyFill="1" applyBorder="1" applyAlignment="1">
      <alignment horizontal="center" vertical="center"/>
    </xf>
    <xf numFmtId="0" fontId="70" fillId="0" borderId="0" xfId="0" applyFont="1" applyAlignment="1">
      <alignment horizontal="left"/>
    </xf>
    <xf numFmtId="43" fontId="40" fillId="0" borderId="0" xfId="1" applyFont="1" applyFill="1" applyBorder="1" applyAlignment="1">
      <alignment horizontal="right" vertical="center"/>
    </xf>
    <xf numFmtId="0" fontId="39" fillId="0" borderId="24" xfId="0" applyFont="1" applyBorder="1"/>
    <xf numFmtId="10" fontId="40" fillId="0" borderId="10" xfId="2" applyNumberFormat="1" applyFont="1" applyFill="1" applyBorder="1"/>
    <xf numFmtId="10" fontId="40" fillId="0" borderId="3" xfId="2" applyNumberFormat="1" applyFont="1" applyFill="1" applyBorder="1"/>
    <xf numFmtId="0" fontId="39" fillId="0" borderId="10" xfId="0" applyFont="1" applyBorder="1"/>
    <xf numFmtId="164" fontId="40" fillId="0" borderId="10" xfId="1" applyNumberFormat="1" applyFont="1" applyFill="1" applyBorder="1"/>
    <xf numFmtId="164" fontId="40" fillId="0" borderId="3" xfId="1" applyNumberFormat="1" applyFont="1" applyFill="1" applyBorder="1"/>
    <xf numFmtId="15" fontId="36" fillId="0" borderId="24" xfId="0" quotePrefix="1" applyNumberFormat="1" applyFont="1" applyBorder="1" applyAlignment="1">
      <alignment horizontal="center"/>
    </xf>
    <xf numFmtId="0" fontId="30" fillId="3" borderId="25" xfId="0" applyFont="1" applyFill="1" applyBorder="1" applyAlignment="1">
      <alignment horizontal="center"/>
    </xf>
    <xf numFmtId="10" fontId="24" fillId="3" borderId="24" xfId="2" applyNumberFormat="1" applyFont="1" applyFill="1" applyBorder="1" applyAlignment="1">
      <alignment horizontal="center"/>
    </xf>
    <xf numFmtId="10" fontId="24" fillId="3" borderId="10" xfId="2" applyNumberFormat="1" applyFont="1" applyFill="1" applyBorder="1" applyAlignment="1">
      <alignment horizontal="center"/>
    </xf>
    <xf numFmtId="10" fontId="24" fillId="3" borderId="3" xfId="2" applyNumberFormat="1" applyFont="1" applyFill="1" applyBorder="1" applyAlignment="1">
      <alignment horizontal="center"/>
    </xf>
    <xf numFmtId="10" fontId="24" fillId="3" borderId="3" xfId="1" applyNumberFormat="1" applyFont="1" applyFill="1" applyBorder="1" applyAlignment="1">
      <alignment horizontal="center"/>
    </xf>
    <xf numFmtId="10" fontId="24" fillId="3" borderId="24" xfId="1" applyNumberFormat="1" applyFont="1" applyFill="1" applyBorder="1" applyAlignment="1">
      <alignment horizontal="center"/>
    </xf>
    <xf numFmtId="10" fontId="24" fillId="3" borderId="10" xfId="1" applyNumberFormat="1" applyFont="1" applyFill="1" applyBorder="1" applyAlignment="1">
      <alignment horizontal="center"/>
    </xf>
    <xf numFmtId="0" fontId="21" fillId="3" borderId="39" xfId="0" applyFont="1" applyFill="1" applyBorder="1" applyAlignment="1">
      <alignment horizontal="center"/>
    </xf>
    <xf numFmtId="0" fontId="39" fillId="3" borderId="0" xfId="0" applyFont="1" applyFill="1" applyAlignment="1">
      <alignment horizontal="center"/>
    </xf>
    <xf numFmtId="0" fontId="39" fillId="3" borderId="29" xfId="0" applyFont="1" applyFill="1" applyBorder="1" applyAlignment="1">
      <alignment horizontal="center"/>
    </xf>
    <xf numFmtId="0" fontId="21" fillId="3" borderId="40" xfId="0" applyFont="1" applyFill="1" applyBorder="1" applyAlignment="1">
      <alignment horizontal="center"/>
    </xf>
    <xf numFmtId="0" fontId="64" fillId="3" borderId="24" xfId="0" applyFont="1" applyFill="1" applyBorder="1"/>
    <xf numFmtId="0" fontId="39" fillId="3" borderId="20" xfId="0" applyFont="1" applyFill="1" applyBorder="1" applyAlignment="1">
      <alignment horizontal="center"/>
    </xf>
    <xf numFmtId="0" fontId="21" fillId="3" borderId="41" xfId="0" applyFont="1" applyFill="1" applyBorder="1" applyAlignment="1">
      <alignment horizontal="center"/>
    </xf>
    <xf numFmtId="0" fontId="64" fillId="3" borderId="10" xfId="0" applyFont="1" applyFill="1" applyBorder="1"/>
    <xf numFmtId="0" fontId="39" fillId="3" borderId="1" xfId="0" applyFont="1" applyFill="1" applyBorder="1" applyAlignment="1">
      <alignment horizontal="center"/>
    </xf>
    <xf numFmtId="0" fontId="39" fillId="3" borderId="22" xfId="0" applyFont="1" applyFill="1" applyBorder="1" applyAlignment="1">
      <alignment horizontal="center"/>
    </xf>
    <xf numFmtId="0" fontId="64" fillId="3" borderId="3" xfId="0" applyFont="1" applyFill="1" applyBorder="1"/>
    <xf numFmtId="0" fontId="64" fillId="3" borderId="16" xfId="0" applyFont="1" applyFill="1" applyBorder="1"/>
    <xf numFmtId="43" fontId="54" fillId="0" borderId="0" xfId="1" applyFont="1"/>
    <xf numFmtId="165" fontId="24" fillId="0" borderId="0" xfId="0" applyNumberFormat="1" applyFont="1" applyAlignment="1">
      <alignment horizontal="center" vertical="center"/>
    </xf>
    <xf numFmtId="0" fontId="65" fillId="3" borderId="24"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2"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400049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457200</xdr:colOff>
      <xdr:row>45</xdr:row>
      <xdr:rowOff>145986</xdr:rowOff>
    </xdr:to>
    <xdr:pic>
      <xdr:nvPicPr>
        <xdr:cNvPr id="4" name="Picture 3">
          <a:extLst>
            <a:ext uri="{FF2B5EF4-FFF2-40B4-BE49-F238E27FC236}">
              <a16:creationId xmlns:a16="http://schemas.microsoft.com/office/drawing/2014/main" id="{9D7E36F4-FFDA-87D1-118C-C490E423DD18}"/>
            </a:ext>
          </a:extLst>
        </xdr:cNvPr>
        <xdr:cNvPicPr>
          <a:picLocks noChangeAspect="1"/>
        </xdr:cNvPicPr>
      </xdr:nvPicPr>
      <xdr:blipFill>
        <a:blip xmlns:r="http://schemas.openxmlformats.org/officeDocument/2006/relationships" r:embed="rId1"/>
        <a:stretch>
          <a:fillRect/>
        </a:stretch>
      </xdr:blipFill>
      <xdr:spPr>
        <a:xfrm>
          <a:off x="0" y="190500"/>
          <a:ext cx="6553200" cy="8527986"/>
        </a:xfrm>
        <a:prstGeom prst="rect">
          <a:avLst/>
        </a:prstGeom>
      </xdr:spPr>
    </xdr:pic>
    <xdr:clientData/>
  </xdr:twoCellAnchor>
  <xdr:twoCellAnchor editAs="oneCell">
    <xdr:from>
      <xdr:col>11</xdr:col>
      <xdr:colOff>552450</xdr:colOff>
      <xdr:row>2</xdr:row>
      <xdr:rowOff>0</xdr:rowOff>
    </xdr:from>
    <xdr:to>
      <xdr:col>22</xdr:col>
      <xdr:colOff>104076</xdr:colOff>
      <xdr:row>45</xdr:row>
      <xdr:rowOff>80404</xdr:rowOff>
    </xdr:to>
    <xdr:pic>
      <xdr:nvPicPr>
        <xdr:cNvPr id="5" name="Picture 4">
          <a:extLst>
            <a:ext uri="{FF2B5EF4-FFF2-40B4-BE49-F238E27FC236}">
              <a16:creationId xmlns:a16="http://schemas.microsoft.com/office/drawing/2014/main" id="{1F9F3098-3338-5B08-E8F0-A0582055C73C}"/>
            </a:ext>
          </a:extLst>
        </xdr:cNvPr>
        <xdr:cNvPicPr>
          <a:picLocks noChangeAspect="1"/>
        </xdr:cNvPicPr>
      </xdr:nvPicPr>
      <xdr:blipFill>
        <a:blip xmlns:r="http://schemas.openxmlformats.org/officeDocument/2006/relationships" r:embed="rId2"/>
        <a:stretch>
          <a:fillRect/>
        </a:stretch>
      </xdr:blipFill>
      <xdr:spPr>
        <a:xfrm>
          <a:off x="7258050" y="381000"/>
          <a:ext cx="6257226" cy="82719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4.5"/>
  <cols>
    <col min="9" max="9" width="16.453125" customWidth="1"/>
  </cols>
  <sheetData>
    <row r="1" spans="1:13" ht="18.5">
      <c r="A1" s="468" t="s">
        <v>0</v>
      </c>
      <c r="B1" s="469"/>
      <c r="C1" s="469"/>
      <c r="D1" s="469"/>
      <c r="E1" s="469"/>
      <c r="F1" s="469"/>
      <c r="G1" s="469"/>
      <c r="H1" s="469"/>
      <c r="I1" s="469"/>
    </row>
    <row r="5" spans="1:13" ht="27.5">
      <c r="E5" s="470" t="s">
        <v>0</v>
      </c>
      <c r="F5" s="471"/>
      <c r="G5" s="471"/>
      <c r="H5" s="471"/>
      <c r="I5" s="471"/>
      <c r="J5" s="471"/>
      <c r="K5" s="471"/>
      <c r="L5" s="471"/>
      <c r="M5" s="471"/>
    </row>
    <row r="7" spans="1:13" ht="27.5">
      <c r="A7" s="472" t="s">
        <v>31</v>
      </c>
      <c r="B7" s="473"/>
      <c r="C7" s="473"/>
      <c r="D7" s="473"/>
      <c r="E7" s="473"/>
      <c r="F7" s="473"/>
      <c r="G7" s="473"/>
      <c r="H7" s="473"/>
      <c r="I7" s="473"/>
    </row>
    <row r="8" spans="1:13" ht="27.5">
      <c r="A8" s="6"/>
      <c r="B8" s="7"/>
      <c r="C8" s="7"/>
      <c r="D8" s="7"/>
      <c r="E8" s="470" t="s">
        <v>0</v>
      </c>
      <c r="F8" s="471"/>
      <c r="G8" s="471"/>
      <c r="H8" s="471"/>
      <c r="I8" s="471"/>
      <c r="J8" s="471"/>
      <c r="K8" s="471"/>
      <c r="L8" s="471"/>
      <c r="M8" s="471"/>
    </row>
    <row r="9" spans="1:13" ht="27.5">
      <c r="A9" s="470" t="s">
        <v>486</v>
      </c>
      <c r="B9" s="471"/>
      <c r="C9" s="471"/>
      <c r="D9" s="471"/>
      <c r="E9" s="471"/>
      <c r="F9" s="471"/>
      <c r="G9" s="471"/>
      <c r="H9" s="471"/>
      <c r="I9" s="471"/>
    </row>
    <row r="15" spans="1:13">
      <c r="A15" s="465" t="s">
        <v>0</v>
      </c>
      <c r="B15" s="466"/>
      <c r="C15" s="466"/>
      <c r="D15" s="466"/>
      <c r="E15" s="466"/>
      <c r="F15" s="466"/>
      <c r="G15" s="466"/>
      <c r="H15" s="466"/>
      <c r="I15" s="466"/>
    </row>
    <row r="16" spans="1:13" ht="33.5">
      <c r="A16" s="463" t="str">
        <f>+'S&amp;D'!A12</f>
        <v>Natural Gas Utility Distribution</v>
      </c>
      <c r="B16" s="464"/>
      <c r="C16" s="464"/>
      <c r="D16" s="464"/>
      <c r="E16" s="464"/>
      <c r="F16" s="464"/>
      <c r="G16" s="464"/>
      <c r="H16" s="464"/>
      <c r="I16" s="464"/>
    </row>
    <row r="17" spans="1:9">
      <c r="A17" s="465" t="s">
        <v>0</v>
      </c>
      <c r="B17" s="466"/>
      <c r="C17" s="466"/>
      <c r="D17" s="466"/>
      <c r="E17" s="466"/>
      <c r="F17" s="466"/>
      <c r="G17" s="466"/>
      <c r="H17" s="466"/>
      <c r="I17" s="466"/>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65" t="s">
        <v>0</v>
      </c>
      <c r="B29" s="466"/>
      <c r="C29" s="466"/>
      <c r="D29" s="466"/>
      <c r="E29" s="466"/>
      <c r="F29" s="466"/>
      <c r="G29" s="466"/>
      <c r="H29" s="466"/>
      <c r="I29" s="466"/>
    </row>
    <row r="34" spans="1:9">
      <c r="A34" s="467"/>
      <c r="B34" s="467"/>
      <c r="C34" s="467"/>
      <c r="D34" s="467"/>
      <c r="E34" s="467"/>
      <c r="F34" s="467"/>
      <c r="G34" s="467"/>
      <c r="H34" s="467"/>
      <c r="I34" s="467"/>
    </row>
    <row r="35" spans="1:9">
      <c r="A35" s="467"/>
      <c r="B35" s="467"/>
      <c r="C35" s="467"/>
      <c r="D35" s="467"/>
      <c r="E35" s="467"/>
      <c r="F35" s="467"/>
      <c r="G35" s="467"/>
      <c r="H35" s="467"/>
      <c r="I35" s="467"/>
    </row>
    <row r="36" spans="1:9">
      <c r="A36" s="467"/>
      <c r="B36" s="467"/>
      <c r="C36" s="467"/>
      <c r="D36" s="467"/>
      <c r="E36" s="467"/>
      <c r="F36" s="467"/>
      <c r="G36" s="467"/>
      <c r="H36" s="467"/>
      <c r="I36" s="467"/>
    </row>
    <row r="37" spans="1:9">
      <c r="A37" s="467"/>
      <c r="B37" s="467"/>
      <c r="C37" s="467"/>
      <c r="D37" s="467"/>
      <c r="E37" s="467"/>
      <c r="F37" s="467"/>
      <c r="G37" s="467"/>
      <c r="H37" s="467"/>
      <c r="I37" s="467"/>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44"/>
  <sheetViews>
    <sheetView view="pageBreakPreview" topLeftCell="A6" zoomScale="70" zoomScaleNormal="80" zoomScaleSheetLayoutView="70" workbookViewId="0">
      <selection activeCell="I37" sqref="I37"/>
    </sheetView>
  </sheetViews>
  <sheetFormatPr defaultRowHeight="14.5"/>
  <cols>
    <col min="1" max="1" width="51.7265625" customWidth="1"/>
    <col min="2" max="2" width="10.81640625" bestFit="1" customWidth="1"/>
    <col min="3" max="3" width="20.54296875"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s>
  <sheetData>
    <row r="1" spans="1:11" ht="25.5">
      <c r="A1" s="25" t="s">
        <v>1</v>
      </c>
      <c r="B1" s="13"/>
      <c r="C1" s="13"/>
      <c r="D1" s="13"/>
      <c r="E1" s="13"/>
      <c r="F1" s="13"/>
      <c r="G1" s="13"/>
      <c r="H1" s="13"/>
      <c r="I1" s="13"/>
      <c r="J1" s="13"/>
      <c r="K1" s="13"/>
    </row>
    <row r="2" spans="1:11" ht="17.5">
      <c r="A2" s="26" t="s">
        <v>9</v>
      </c>
      <c r="B2" s="13"/>
      <c r="C2" s="13"/>
      <c r="D2" s="13"/>
      <c r="E2" s="13"/>
      <c r="F2" s="13"/>
      <c r="G2" s="13"/>
      <c r="H2" s="13"/>
      <c r="I2" s="13"/>
      <c r="J2" s="13"/>
      <c r="K2" s="13"/>
    </row>
    <row r="3" spans="1:11" ht="17">
      <c r="A3" s="27" t="s">
        <v>487</v>
      </c>
      <c r="B3" s="13"/>
      <c r="C3" s="13"/>
      <c r="D3" s="13"/>
      <c r="E3" s="13"/>
      <c r="F3" s="13"/>
      <c r="G3" s="13"/>
      <c r="H3" s="13"/>
      <c r="I3" s="13"/>
      <c r="J3" s="13"/>
      <c r="K3" s="13"/>
    </row>
    <row r="4" spans="1:11" ht="17">
      <c r="A4" s="27"/>
      <c r="B4" s="13"/>
      <c r="C4" s="13"/>
      <c r="D4" s="13"/>
      <c r="E4" s="13"/>
      <c r="F4" s="13"/>
      <c r="G4" s="13"/>
      <c r="H4" s="13"/>
      <c r="I4" s="13"/>
      <c r="J4" s="13"/>
      <c r="K4" s="13"/>
    </row>
    <row r="5" spans="1:11" ht="17.5" thickBot="1">
      <c r="A5" s="13"/>
      <c r="B5" s="13"/>
      <c r="C5" s="13"/>
      <c r="D5" s="13"/>
      <c r="E5" s="13"/>
      <c r="F5" s="28" t="s">
        <v>0</v>
      </c>
      <c r="G5" s="28"/>
      <c r="H5" s="13" t="s">
        <v>0</v>
      </c>
      <c r="I5" s="13"/>
      <c r="J5" s="13"/>
      <c r="K5" s="13"/>
    </row>
    <row r="6" spans="1:11" ht="21.5" thickBot="1">
      <c r="A6" s="272" t="str">
        <f>+'S&amp;D'!A12</f>
        <v>Natural Gas Utility Distribution</v>
      </c>
      <c r="B6" s="202"/>
      <c r="C6" s="13"/>
      <c r="D6" s="30"/>
      <c r="E6" s="30"/>
      <c r="F6" s="30"/>
      <c r="G6" s="13"/>
      <c r="H6" s="13"/>
      <c r="I6" s="13"/>
      <c r="J6" s="13"/>
      <c r="K6" s="13"/>
    </row>
    <row r="7" spans="1:11" ht="25.5">
      <c r="A7" s="32"/>
      <c r="B7" s="13"/>
      <c r="C7" s="13"/>
      <c r="D7" s="13"/>
      <c r="E7" s="33" t="s">
        <v>213</v>
      </c>
      <c r="F7" s="13"/>
      <c r="G7" s="13"/>
      <c r="H7" s="13" t="s">
        <v>0</v>
      </c>
      <c r="I7" s="13"/>
      <c r="J7" s="13"/>
      <c r="K7" s="13"/>
    </row>
    <row r="8" spans="1:11" ht="17.5" thickBot="1">
      <c r="A8" s="42" t="s">
        <v>0</v>
      </c>
      <c r="B8" s="42" t="s">
        <v>0</v>
      </c>
      <c r="C8" s="42" t="s">
        <v>0</v>
      </c>
      <c r="D8" s="35" t="s">
        <v>0</v>
      </c>
      <c r="E8" s="38" t="s">
        <v>488</v>
      </c>
      <c r="F8" s="35" t="s">
        <v>0</v>
      </c>
      <c r="G8" s="42"/>
      <c r="H8" s="42" t="s">
        <v>0</v>
      </c>
      <c r="I8" s="42" t="s">
        <v>0</v>
      </c>
      <c r="J8" s="13"/>
      <c r="K8" s="13"/>
    </row>
    <row r="9" spans="1:11" ht="17">
      <c r="A9" s="42"/>
      <c r="B9" s="42"/>
      <c r="H9" s="42" t="s">
        <v>0</v>
      </c>
      <c r="I9" s="42"/>
      <c r="J9" s="13"/>
      <c r="K9" s="13"/>
    </row>
    <row r="10" spans="1:11" ht="17">
      <c r="A10" s="42"/>
      <c r="B10" s="42"/>
      <c r="C10" t="s">
        <v>0</v>
      </c>
      <c r="D10" t="s">
        <v>0</v>
      </c>
      <c r="E10" s="14" t="s">
        <v>0</v>
      </c>
      <c r="H10" s="42"/>
      <c r="I10" s="42"/>
      <c r="J10" s="13"/>
      <c r="K10" s="13"/>
    </row>
    <row r="11" spans="1:11" ht="17">
      <c r="A11" s="42"/>
      <c r="B11" s="42"/>
      <c r="H11" s="42"/>
      <c r="I11" s="42"/>
      <c r="J11" s="13"/>
      <c r="K11" s="13"/>
    </row>
    <row r="12" spans="1:11" ht="17.5" thickBot="1">
      <c r="A12" s="35"/>
      <c r="B12" s="35"/>
      <c r="C12" s="157"/>
      <c r="D12" s="157"/>
      <c r="E12" s="157"/>
      <c r="F12" s="157"/>
      <c r="G12" s="157"/>
      <c r="H12" s="35"/>
      <c r="I12" s="35"/>
      <c r="J12" s="30"/>
      <c r="K12" s="13"/>
    </row>
    <row r="13" spans="1:11" ht="11.25" customHeight="1" thickBot="1">
      <c r="A13" s="35" t="s">
        <v>24</v>
      </c>
      <c r="B13" s="35" t="s">
        <v>108</v>
      </c>
      <c r="C13" s="35" t="s">
        <v>109</v>
      </c>
      <c r="D13" s="43" t="s">
        <v>110</v>
      </c>
      <c r="E13" s="35" t="s">
        <v>111</v>
      </c>
      <c r="F13" s="35" t="s">
        <v>112</v>
      </c>
      <c r="G13" s="35" t="s">
        <v>113</v>
      </c>
      <c r="H13" s="35" t="s">
        <v>114</v>
      </c>
      <c r="I13" s="35" t="s">
        <v>115</v>
      </c>
      <c r="J13" s="35" t="s">
        <v>116</v>
      </c>
      <c r="K13" s="13"/>
    </row>
    <row r="14" spans="1:11" ht="17">
      <c r="A14" s="36" t="s">
        <v>0</v>
      </c>
      <c r="B14" s="36" t="s">
        <v>3</v>
      </c>
      <c r="C14" s="36" t="s">
        <v>103</v>
      </c>
      <c r="D14" s="36" t="s">
        <v>136</v>
      </c>
      <c r="E14" s="36" t="s">
        <v>137</v>
      </c>
      <c r="F14" s="36" t="s">
        <v>136</v>
      </c>
      <c r="G14" s="36" t="s">
        <v>137</v>
      </c>
      <c r="H14" s="36" t="s">
        <v>19</v>
      </c>
      <c r="I14" s="36" t="s">
        <v>138</v>
      </c>
      <c r="J14" s="36" t="s">
        <v>150</v>
      </c>
      <c r="K14" s="13"/>
    </row>
    <row r="15" spans="1:11" ht="17.5" thickBot="1">
      <c r="A15" s="38" t="s">
        <v>2</v>
      </c>
      <c r="B15" s="38" t="s">
        <v>4</v>
      </c>
      <c r="C15" s="38" t="s">
        <v>135</v>
      </c>
      <c r="D15" s="38" t="s">
        <v>102</v>
      </c>
      <c r="E15" s="38" t="s">
        <v>102</v>
      </c>
      <c r="F15" s="38" t="s">
        <v>103</v>
      </c>
      <c r="G15" s="38" t="s">
        <v>103</v>
      </c>
      <c r="H15" s="38" t="s">
        <v>136</v>
      </c>
      <c r="I15" s="38" t="s">
        <v>139</v>
      </c>
      <c r="J15" s="38" t="s">
        <v>149</v>
      </c>
      <c r="K15" s="13"/>
    </row>
    <row r="16" spans="1:11" ht="17">
      <c r="A16" s="44" t="s">
        <v>7</v>
      </c>
      <c r="B16" s="44" t="s">
        <v>7</v>
      </c>
      <c r="C16" s="44" t="s">
        <v>152</v>
      </c>
      <c r="D16" s="44" t="s">
        <v>152</v>
      </c>
      <c r="E16" s="44" t="s">
        <v>152</v>
      </c>
      <c r="F16" s="44" t="s">
        <v>152</v>
      </c>
      <c r="G16" s="44" t="s">
        <v>152</v>
      </c>
      <c r="H16" s="44" t="s">
        <v>141</v>
      </c>
      <c r="I16" s="44" t="s">
        <v>140</v>
      </c>
      <c r="J16" s="44" t="s">
        <v>118</v>
      </c>
      <c r="K16" s="13"/>
    </row>
    <row r="17" spans="1:12" ht="17">
      <c r="A17" s="36"/>
      <c r="B17" s="36"/>
      <c r="C17" s="36"/>
      <c r="D17" s="36"/>
      <c r="E17" s="36"/>
      <c r="F17" s="36"/>
      <c r="G17" s="36"/>
      <c r="H17" s="36"/>
      <c r="I17" s="36"/>
      <c r="J17" s="36"/>
      <c r="K17" s="13"/>
    </row>
    <row r="18" spans="1:12" ht="17">
      <c r="A18" s="13"/>
      <c r="B18" s="13"/>
      <c r="C18" s="13"/>
      <c r="D18" s="13"/>
      <c r="E18" s="13"/>
      <c r="F18" s="13"/>
      <c r="G18" s="13"/>
      <c r="H18" s="13"/>
      <c r="I18" s="13"/>
      <c r="J18" s="13"/>
      <c r="K18" s="13"/>
    </row>
    <row r="19" spans="1:12" ht="17.5">
      <c r="A19" s="65" t="str">
        <f>+'S&amp;D'!A22</f>
        <v>Atmos Energy Corp</v>
      </c>
      <c r="B19" s="92" t="str">
        <f>+'S&amp;D'!B22</f>
        <v>ATO</v>
      </c>
      <c r="C19" s="361">
        <f>137281000+51875000-102811000</f>
        <v>86345000</v>
      </c>
      <c r="D19" s="307">
        <v>7850126464.4938354</v>
      </c>
      <c r="E19" s="139">
        <v>8753279000</v>
      </c>
      <c r="F19" s="139">
        <f>+'S&amp;D'!G42</f>
        <v>6949810761.1442356</v>
      </c>
      <c r="G19" s="139">
        <f>+'S&amp;D'!J22</f>
        <v>7445756000</v>
      </c>
      <c r="H19" s="190">
        <f>(D19+F19)/2</f>
        <v>7399968612.8190355</v>
      </c>
      <c r="I19" s="413">
        <f>C19/H19</f>
        <v>1.1668292734434541E-2</v>
      </c>
      <c r="J19" s="47">
        <f>F19/G19</f>
        <v>0.93339222520107235</v>
      </c>
      <c r="K19" s="13"/>
    </row>
    <row r="20" spans="1:12" ht="17.5">
      <c r="A20" s="65" t="str">
        <f>+'S&amp;D'!A23</f>
        <v>Black Hills Corporation</v>
      </c>
      <c r="B20" s="92" t="str">
        <f>+'S&amp;D'!B23</f>
        <v>BKH</v>
      </c>
      <c r="C20" s="317">
        <v>180000000</v>
      </c>
      <c r="D20" s="307">
        <v>3760848000</v>
      </c>
      <c r="E20" s="139">
        <v>4132340000</v>
      </c>
      <c r="F20" s="139">
        <f>+'S&amp;D'!G43</f>
        <v>4215600000.0000005</v>
      </c>
      <c r="G20" s="139">
        <f>+'S&amp;D'!J23</f>
        <v>4401200000</v>
      </c>
      <c r="H20" s="190">
        <f t="shared" ref="H20:H29" si="0">(D20+F20)/2</f>
        <v>3988224000</v>
      </c>
      <c r="I20" s="68">
        <f t="shared" ref="I20:I29" si="1">C20/H20</f>
        <v>4.5132871172732528E-2</v>
      </c>
      <c r="J20" s="47">
        <f t="shared" ref="J20:J29" si="2">F20/G20</f>
        <v>0.95782968281377812</v>
      </c>
      <c r="K20" s="13"/>
    </row>
    <row r="21" spans="1:12" ht="17.5">
      <c r="A21" s="65" t="str">
        <f>+'S&amp;D'!A24</f>
        <v>CenterPoint Energy Inc.</v>
      </c>
      <c r="B21" s="92" t="str">
        <f>+'S&amp;D'!B24</f>
        <v>CNP</v>
      </c>
      <c r="C21" s="317">
        <f>684000000+17000000</f>
        <v>701000000</v>
      </c>
      <c r="D21" s="307">
        <v>14990000000</v>
      </c>
      <c r="E21" s="139">
        <v>16338000000</v>
      </c>
      <c r="F21" s="139">
        <f>+'S&amp;D'!G44</f>
        <v>16969721532.591757</v>
      </c>
      <c r="G21" s="139">
        <f>+'S&amp;D'!J24</f>
        <v>17737000000</v>
      </c>
      <c r="H21" s="190">
        <f t="shared" si="0"/>
        <v>15979860766.295879</v>
      </c>
      <c r="I21" s="68">
        <f t="shared" si="1"/>
        <v>4.3867716387024025E-2</v>
      </c>
      <c r="J21" s="47">
        <f t="shared" si="2"/>
        <v>0.9567413617067011</v>
      </c>
      <c r="K21" s="13"/>
    </row>
    <row r="22" spans="1:12" ht="17.5">
      <c r="A22" s="65" t="str">
        <f>+'S&amp;D'!A25</f>
        <v>CMS Energy Corporation</v>
      </c>
      <c r="B22" s="92" t="str">
        <f>+'S&amp;D'!B25</f>
        <v>CMS</v>
      </c>
      <c r="C22" s="317">
        <v>643000000</v>
      </c>
      <c r="D22" s="307">
        <v>12451095975.232199</v>
      </c>
      <c r="E22" s="139">
        <v>14289000000</v>
      </c>
      <c r="F22" s="139">
        <f>+'S&amp;D'!G45</f>
        <v>14366902409.093845</v>
      </c>
      <c r="G22" s="139">
        <f>+'S&amp;D'!J25</f>
        <v>15550000000</v>
      </c>
      <c r="H22" s="190">
        <f t="shared" si="0"/>
        <v>13408999192.163021</v>
      </c>
      <c r="I22" s="68">
        <f t="shared" si="1"/>
        <v>4.7952870366030423E-2</v>
      </c>
      <c r="J22" s="47">
        <f t="shared" si="2"/>
        <v>0.92391655363947556</v>
      </c>
      <c r="K22" s="13"/>
    </row>
    <row r="23" spans="1:12" ht="17.5">
      <c r="A23" s="65" t="str">
        <f>+'S&amp;D'!A26</f>
        <v>New Jersey Resources Corp</v>
      </c>
      <c r="B23" s="92" t="str">
        <f>+'S&amp;D'!B26</f>
        <v>NJR</v>
      </c>
      <c r="C23" s="317">
        <f>123014000+31473000-29491000</f>
        <v>124996000</v>
      </c>
      <c r="D23" s="307">
        <v>2351550863.7005014</v>
      </c>
      <c r="E23" s="139">
        <v>2771001000</v>
      </c>
      <c r="F23" s="139">
        <f>+'S&amp;D'!G46</f>
        <v>2618482259.2563248</v>
      </c>
      <c r="G23" s="139">
        <f>+'S&amp;D'!J26</f>
        <v>2958624000</v>
      </c>
      <c r="H23" s="190">
        <f t="shared" si="0"/>
        <v>2485016561.4784131</v>
      </c>
      <c r="I23" s="68">
        <f t="shared" si="1"/>
        <v>5.0299865979821085E-2</v>
      </c>
      <c r="J23" s="47">
        <f t="shared" si="2"/>
        <v>0.88503380600452264</v>
      </c>
      <c r="K23" s="13"/>
    </row>
    <row r="24" spans="1:12" ht="17.5">
      <c r="A24" s="65" t="str">
        <f>+'S&amp;D'!A27</f>
        <v>NISOURCE Inc.</v>
      </c>
      <c r="B24" s="92" t="str">
        <f>+'S&amp;D'!B27</f>
        <v>NI</v>
      </c>
      <c r="C24" s="317">
        <v>489600000</v>
      </c>
      <c r="D24" s="307">
        <v>8479400000</v>
      </c>
      <c r="E24" s="139">
        <v>9553600000</v>
      </c>
      <c r="F24" s="139">
        <f>+'S&amp;D'!G47</f>
        <v>10370900000</v>
      </c>
      <c r="G24" s="139">
        <f>+'S&amp;D'!J27</f>
        <v>11079300000</v>
      </c>
      <c r="H24" s="190">
        <f t="shared" si="0"/>
        <v>9425150000</v>
      </c>
      <c r="I24" s="68">
        <f t="shared" si="1"/>
        <v>5.1946122873376022E-2</v>
      </c>
      <c r="J24" s="47">
        <f t="shared" si="2"/>
        <v>0.93606094247831539</v>
      </c>
      <c r="K24" s="13"/>
    </row>
    <row r="25" spans="1:12" ht="17.5">
      <c r="A25" s="65" t="str">
        <f>+'S&amp;D'!A28</f>
        <v xml:space="preserve">Northwest Natural Holding Company </v>
      </c>
      <c r="B25" s="92" t="str">
        <f>+'S&amp;D'!B28</f>
        <v>NWN</v>
      </c>
      <c r="C25" s="317">
        <v>76566000</v>
      </c>
      <c r="D25" s="307">
        <v>1148395000</v>
      </c>
      <c r="E25" s="139">
        <v>1336864000</v>
      </c>
      <c r="F25" s="139">
        <f>+'S&amp;D'!G48</f>
        <v>1750111673.5740058</v>
      </c>
      <c r="G25" s="139">
        <f>+'S&amp;D'!J28</f>
        <v>1515215000</v>
      </c>
      <c r="H25" s="190">
        <f t="shared" si="0"/>
        <v>1449253336.787003</v>
      </c>
      <c r="I25" s="68">
        <f t="shared" si="1"/>
        <v>5.2831342910513453E-2</v>
      </c>
      <c r="J25" s="47">
        <f t="shared" si="2"/>
        <v>1.1550253089983968</v>
      </c>
      <c r="K25" s="13"/>
    </row>
    <row r="26" spans="1:12" ht="17.5">
      <c r="A26" s="65" t="str">
        <f>+'S&amp;D'!A29</f>
        <v>One Gas INC</v>
      </c>
      <c r="B26" s="92" t="str">
        <f>+'S&amp;D'!B29</f>
        <v>OGS</v>
      </c>
      <c r="C26" s="317">
        <v>115339000</v>
      </c>
      <c r="D26" s="307">
        <v>2483758333.333333</v>
      </c>
      <c r="E26" s="139">
        <v>2682459000</v>
      </c>
      <c r="F26" s="139">
        <f>+'S&amp;D'!G49</f>
        <v>2800000000</v>
      </c>
      <c r="G26" s="139">
        <f>+'S&amp;D'!J29</f>
        <v>2933385000</v>
      </c>
      <c r="H26" s="190">
        <f t="shared" si="0"/>
        <v>2641879166.6666665</v>
      </c>
      <c r="I26" s="68">
        <f t="shared" si="1"/>
        <v>4.3657939187857132E-2</v>
      </c>
      <c r="J26" s="47">
        <f t="shared" si="2"/>
        <v>0.95452864182505881</v>
      </c>
      <c r="K26" s="13"/>
    </row>
    <row r="27" spans="1:12" ht="17.5">
      <c r="A27" s="65" t="str">
        <f>+'S&amp;D'!A30</f>
        <v>Southwest Gas Holdings, Inc</v>
      </c>
      <c r="B27" s="92" t="str">
        <f>+'S&amp;D'!B30</f>
        <v>SWX</v>
      </c>
      <c r="C27" s="317">
        <v>292286000</v>
      </c>
      <c r="D27" s="307">
        <v>4225463200</v>
      </c>
      <c r="E27" s="139">
        <v>4447856000</v>
      </c>
      <c r="F27" s="139">
        <f>+'S&amp;D'!G50</f>
        <v>4804408268.5747309</v>
      </c>
      <c r="G27" s="139">
        <f>+'S&amp;D'!J30</f>
        <v>5035358000</v>
      </c>
      <c r="H27" s="190">
        <f>(D27+F27)/2</f>
        <v>4514935734.287365</v>
      </c>
      <c r="I27" s="68">
        <f>C27/H27</f>
        <v>6.473757705570847E-2</v>
      </c>
      <c r="J27" s="47">
        <f>F27/G27</f>
        <v>0.95413439691373103</v>
      </c>
      <c r="K27" s="13"/>
    </row>
    <row r="28" spans="1:12" ht="17.5">
      <c r="A28" s="65" t="str">
        <f>+'S&amp;D'!A31</f>
        <v>Spire Inc / Laclede Group Inc</v>
      </c>
      <c r="B28" s="92" t="str">
        <f>+'S&amp;D'!B31</f>
        <v>SR</v>
      </c>
      <c r="C28" s="317">
        <v>185700000</v>
      </c>
      <c r="D28" s="307">
        <v>3083700000</v>
      </c>
      <c r="E28" s="139">
        <v>3412900000</v>
      </c>
      <c r="F28" s="139">
        <f>+'S&amp;D'!G51</f>
        <v>3481500000</v>
      </c>
      <c r="G28" s="139">
        <f>+'S&amp;D'!J31</f>
        <v>3704800000</v>
      </c>
      <c r="H28" s="190">
        <f>(D28+F28)/2</f>
        <v>3282600000</v>
      </c>
      <c r="I28" s="68">
        <f t="shared" si="1"/>
        <v>5.6571010784134526E-2</v>
      </c>
      <c r="J28" s="47">
        <f t="shared" si="2"/>
        <v>0.93972684085510694</v>
      </c>
      <c r="K28" s="13"/>
      <c r="L28" t="s">
        <v>0</v>
      </c>
    </row>
    <row r="29" spans="1:12" ht="17.5">
      <c r="A29" s="65" t="str">
        <f>+'S&amp;D'!A32</f>
        <v>WEC Energy Group</v>
      </c>
      <c r="B29" s="92" t="str">
        <f>+'S&amp;D'!B32</f>
        <v>WEC</v>
      </c>
      <c r="C29" s="317">
        <v>726900000</v>
      </c>
      <c r="D29" s="307">
        <v>14104500000</v>
      </c>
      <c r="E29" s="139">
        <v>15647400000</v>
      </c>
      <c r="F29" s="139">
        <f>+'S&amp;D'!G52</f>
        <v>15700841261.251511</v>
      </c>
      <c r="G29" s="139">
        <f>+'S&amp;D'!J32</f>
        <v>16777000000</v>
      </c>
      <c r="H29" s="190">
        <f t="shared" si="0"/>
        <v>14902670630.625755</v>
      </c>
      <c r="I29" s="68">
        <f t="shared" si="1"/>
        <v>4.8776492349376838E-2</v>
      </c>
      <c r="J29" s="47">
        <f t="shared" si="2"/>
        <v>0.93585511481501527</v>
      </c>
      <c r="K29" s="13"/>
    </row>
    <row r="30" spans="1:12" ht="17.5" thickBot="1">
      <c r="A30" s="13"/>
      <c r="B30" s="13"/>
      <c r="C30" s="48"/>
      <c r="D30" s="48"/>
      <c r="E30" s="48"/>
      <c r="F30" s="48"/>
      <c r="G30" s="48" t="s">
        <v>55</v>
      </c>
      <c r="H30" s="48"/>
      <c r="I30" s="48" t="s">
        <v>55</v>
      </c>
      <c r="J30" s="48"/>
      <c r="K30" s="13"/>
    </row>
    <row r="31" spans="1:12" ht="17.5" thickTop="1">
      <c r="A31" s="13"/>
      <c r="B31" s="13"/>
      <c r="C31" s="49" t="s">
        <v>0</v>
      </c>
      <c r="D31" s="49" t="s">
        <v>0</v>
      </c>
      <c r="E31" s="36" t="s">
        <v>0</v>
      </c>
      <c r="F31" s="36"/>
      <c r="G31" s="49" t="s">
        <v>0</v>
      </c>
      <c r="H31" s="15" t="s">
        <v>56</v>
      </c>
      <c r="I31" s="55">
        <f>MAX(I19:I29)</f>
        <v>6.473757705570847E-2</v>
      </c>
      <c r="J31" s="318">
        <f>MAX(J19:J29)</f>
        <v>1.1550253089983968</v>
      </c>
      <c r="K31" s="13"/>
    </row>
    <row r="32" spans="1:12" ht="17">
      <c r="A32" s="191" t="s">
        <v>90</v>
      </c>
      <c r="B32" s="13"/>
      <c r="C32" s="49"/>
      <c r="D32" s="49"/>
      <c r="E32" s="36" t="s">
        <v>0</v>
      </c>
      <c r="F32" s="36"/>
      <c r="G32" s="49"/>
      <c r="H32" s="15" t="s">
        <v>57</v>
      </c>
      <c r="I32" s="298">
        <f>MIN(I19:I29)</f>
        <v>1.1668292734434541E-2</v>
      </c>
      <c r="J32" s="345">
        <f>MIN(J19:J29)</f>
        <v>0.88503380600452264</v>
      </c>
      <c r="K32" s="13"/>
    </row>
    <row r="33" spans="1:11" ht="17">
      <c r="A33" s="192" t="s">
        <v>290</v>
      </c>
      <c r="B33" s="13"/>
      <c r="C33" s="13"/>
      <c r="D33" s="13"/>
      <c r="E33" s="13"/>
      <c r="F33" s="13"/>
      <c r="G33" s="13"/>
      <c r="H33" s="15" t="s">
        <v>18</v>
      </c>
      <c r="I33" s="58">
        <f>MEDIAN(I19:I29)</f>
        <v>4.8776492349376838E-2</v>
      </c>
      <c r="J33" s="50">
        <f>MEDIAN(J19:J29)</f>
        <v>0.93972684085510694</v>
      </c>
      <c r="K33" s="13"/>
    </row>
    <row r="34" spans="1:11" ht="17">
      <c r="A34" s="192" t="s">
        <v>258</v>
      </c>
      <c r="B34" s="13"/>
      <c r="C34" s="13"/>
      <c r="D34" s="13"/>
      <c r="E34" s="13"/>
      <c r="F34" s="13"/>
      <c r="G34" s="13" t="s">
        <v>0</v>
      </c>
      <c r="H34" s="15" t="s">
        <v>448</v>
      </c>
      <c r="I34" s="58">
        <f>AVERAGE(I19:I29)</f>
        <v>4.7040191072819003E-2</v>
      </c>
      <c r="J34" s="50">
        <f>AVERAGE(J19:J29)</f>
        <v>0.95747680684101577</v>
      </c>
      <c r="K34" s="13"/>
    </row>
    <row r="35" spans="1:11" ht="17.5" thickBot="1">
      <c r="A35" s="13"/>
      <c r="B35" s="13"/>
      <c r="C35" s="13"/>
      <c r="D35" s="13" t="s">
        <v>0</v>
      </c>
      <c r="E35" s="13" t="s">
        <v>0</v>
      </c>
      <c r="F35" s="13"/>
      <c r="G35" s="13"/>
      <c r="H35" s="13"/>
      <c r="I35" s="13"/>
      <c r="J35" s="14"/>
      <c r="K35" s="13"/>
    </row>
    <row r="36" spans="1:11" ht="26" thickBot="1">
      <c r="A36" s="13"/>
      <c r="B36" s="13"/>
      <c r="C36" s="13" t="s">
        <v>0</v>
      </c>
      <c r="D36" s="362" t="s">
        <v>0</v>
      </c>
      <c r="E36" s="13" t="s">
        <v>0</v>
      </c>
      <c r="F36" s="13"/>
      <c r="G36" s="197"/>
      <c r="H36" s="198" t="s">
        <v>264</v>
      </c>
      <c r="I36" s="369">
        <v>4.7E-2</v>
      </c>
      <c r="J36" s="410">
        <v>9.5750000000000002E-3</v>
      </c>
      <c r="K36" s="13"/>
    </row>
    <row r="37" spans="1:11" ht="17">
      <c r="A37" s="13"/>
      <c r="B37" s="13"/>
      <c r="C37" s="13"/>
      <c r="D37" s="13"/>
      <c r="E37" s="13"/>
      <c r="F37" s="13"/>
      <c r="G37" s="13"/>
      <c r="H37" s="13"/>
      <c r="I37" s="13"/>
      <c r="J37" s="13"/>
      <c r="K37" s="13"/>
    </row>
    <row r="38" spans="1:11" ht="17">
      <c r="A38" s="13"/>
      <c r="B38" s="13"/>
      <c r="C38" s="13"/>
      <c r="D38" s="13"/>
      <c r="E38" s="13"/>
      <c r="F38" s="13"/>
      <c r="G38" s="13"/>
      <c r="H38" s="13"/>
      <c r="I38" s="13"/>
      <c r="J38" s="13"/>
      <c r="K38" s="13"/>
    </row>
    <row r="42" spans="1:11">
      <c r="C42" t="s">
        <v>0</v>
      </c>
    </row>
    <row r="43" spans="1:11">
      <c r="C43" t="s">
        <v>0</v>
      </c>
    </row>
    <row r="44" spans="1:11">
      <c r="C44" t="s">
        <v>0</v>
      </c>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63"/>
  <sheetViews>
    <sheetView tabSelected="1" view="pageBreakPreview" topLeftCell="A12" zoomScale="60" zoomScaleNormal="80" workbookViewId="0">
      <selection activeCell="M33" sqref="M33"/>
    </sheetView>
  </sheetViews>
  <sheetFormatPr defaultRowHeight="14.5"/>
  <cols>
    <col min="1" max="1" width="43.1796875" customWidth="1"/>
    <col min="2" max="2" width="10.81640625" bestFit="1" customWidth="1"/>
    <col min="3" max="3" width="28.81640625" customWidth="1"/>
    <col min="4" max="4" width="18.54296875" customWidth="1"/>
    <col min="5" max="5" width="21.81640625" customWidth="1"/>
    <col min="6" max="6" width="18" customWidth="1"/>
    <col min="7" max="7" width="12.26953125" customWidth="1"/>
    <col min="8" max="8" width="20.54296875" customWidth="1"/>
    <col min="9" max="9" width="12.453125" customWidth="1"/>
    <col min="10" max="11" width="20.54296875" customWidth="1"/>
    <col min="12" max="12" width="26.54296875" customWidth="1"/>
    <col min="13" max="13" width="12" customWidth="1"/>
  </cols>
  <sheetData>
    <row r="1" spans="1:13" ht="25.5">
      <c r="A1" s="25" t="s">
        <v>1</v>
      </c>
      <c r="B1" s="13"/>
      <c r="C1" s="13"/>
      <c r="D1" s="13"/>
      <c r="E1" s="13"/>
      <c r="F1" s="13"/>
      <c r="G1" s="13"/>
      <c r="H1" s="13"/>
      <c r="I1" s="13"/>
      <c r="J1" s="13"/>
      <c r="K1" s="13"/>
      <c r="L1" s="13"/>
      <c r="M1" s="13"/>
    </row>
    <row r="2" spans="1:13" ht="17.5">
      <c r="A2" s="26" t="s">
        <v>9</v>
      </c>
      <c r="B2" s="13"/>
      <c r="C2" s="13"/>
      <c r="D2" s="13"/>
      <c r="E2" s="13"/>
      <c r="F2" s="13"/>
      <c r="G2" s="13"/>
      <c r="H2" s="13"/>
      <c r="I2" s="13"/>
      <c r="J2" s="13"/>
      <c r="K2" s="13"/>
      <c r="L2" s="13"/>
      <c r="M2" s="13"/>
    </row>
    <row r="3" spans="1:13" ht="17">
      <c r="A3" s="27" t="s">
        <v>487</v>
      </c>
      <c r="B3" s="13"/>
      <c r="C3" s="13"/>
      <c r="D3" s="13"/>
      <c r="E3" s="13"/>
      <c r="F3" s="13"/>
      <c r="G3" s="13"/>
      <c r="H3" s="13"/>
      <c r="I3" s="13"/>
      <c r="J3" s="13"/>
      <c r="K3" s="13"/>
      <c r="L3" s="13"/>
      <c r="M3" s="13"/>
    </row>
    <row r="4" spans="1:13" ht="17">
      <c r="A4" s="27"/>
      <c r="B4" s="13"/>
      <c r="C4" s="13"/>
      <c r="D4" s="13"/>
      <c r="E4" s="13"/>
      <c r="F4" s="13"/>
      <c r="G4" s="13"/>
      <c r="H4" s="13"/>
      <c r="I4" s="13"/>
      <c r="J4" s="13"/>
      <c r="K4" s="13"/>
      <c r="L4" s="13"/>
      <c r="M4" s="13"/>
    </row>
    <row r="5" spans="1:13" ht="17.5" thickBot="1">
      <c r="A5" s="13"/>
      <c r="B5" s="13"/>
      <c r="C5" s="13"/>
      <c r="D5" s="13"/>
      <c r="E5" s="13"/>
      <c r="F5" s="13"/>
      <c r="G5" s="28"/>
      <c r="H5" s="28"/>
      <c r="I5" s="13"/>
      <c r="J5" s="13"/>
      <c r="K5" s="13"/>
      <c r="L5" s="13"/>
      <c r="M5" s="13"/>
    </row>
    <row r="6" spans="1:13" ht="21.5" thickBot="1">
      <c r="A6" s="272" t="str">
        <f>+'S&amp;D'!A12</f>
        <v>Natural Gas Utility Distribution</v>
      </c>
      <c r="B6" s="202"/>
      <c r="C6" s="13"/>
      <c r="D6" s="30"/>
      <c r="E6" s="30"/>
      <c r="F6" s="31" t="s">
        <v>0</v>
      </c>
      <c r="G6" s="13"/>
      <c r="H6" s="13"/>
      <c r="I6" s="13"/>
      <c r="J6" s="13"/>
      <c r="K6" s="13"/>
      <c r="L6" s="13"/>
      <c r="M6" s="13"/>
    </row>
    <row r="7" spans="1:13" ht="25.5">
      <c r="A7" s="32"/>
      <c r="B7" s="13"/>
      <c r="C7" s="13"/>
      <c r="D7" s="13"/>
      <c r="E7" s="33" t="s">
        <v>148</v>
      </c>
      <c r="F7" s="13"/>
      <c r="G7" s="13"/>
      <c r="H7" s="13"/>
      <c r="I7" s="13"/>
      <c r="J7" s="13"/>
      <c r="K7" s="13"/>
      <c r="L7" s="13"/>
      <c r="M7" s="13"/>
    </row>
    <row r="8" spans="1:13" ht="21.5" thickBot="1">
      <c r="A8" s="32"/>
      <c r="B8" s="13"/>
      <c r="C8" s="13"/>
      <c r="D8" s="30"/>
      <c r="E8" s="38" t="s">
        <v>488</v>
      </c>
      <c r="F8" s="30"/>
      <c r="G8" s="13"/>
      <c r="H8" s="13"/>
      <c r="I8" s="13"/>
      <c r="J8" s="13"/>
      <c r="K8" s="13"/>
      <c r="L8" s="13"/>
      <c r="M8" s="13"/>
    </row>
    <row r="9" spans="1:13" ht="17.5" thickBot="1">
      <c r="A9" s="35" t="s">
        <v>0</v>
      </c>
      <c r="B9" s="35" t="s">
        <v>0</v>
      </c>
      <c r="C9" s="35" t="s">
        <v>0</v>
      </c>
      <c r="D9" s="35" t="s">
        <v>0</v>
      </c>
      <c r="E9" s="35" t="s">
        <v>0</v>
      </c>
      <c r="F9" s="35" t="s">
        <v>0</v>
      </c>
      <c r="G9" s="35"/>
      <c r="H9" s="35"/>
      <c r="I9" s="35" t="s">
        <v>0</v>
      </c>
      <c r="J9" s="30"/>
      <c r="K9" s="13"/>
      <c r="L9" s="13"/>
      <c r="M9" s="13"/>
    </row>
    <row r="10" spans="1:13" ht="17">
      <c r="A10" s="36" t="s">
        <v>0</v>
      </c>
      <c r="B10" s="36" t="s">
        <v>3</v>
      </c>
      <c r="C10" s="36" t="s">
        <v>5</v>
      </c>
      <c r="D10" s="36" t="s">
        <v>21</v>
      </c>
      <c r="E10" s="36" t="s">
        <v>20</v>
      </c>
      <c r="F10" s="36" t="s">
        <v>65</v>
      </c>
      <c r="G10" s="36" t="s">
        <v>151</v>
      </c>
      <c r="H10" s="36" t="s">
        <v>60</v>
      </c>
      <c r="I10" s="36" t="s">
        <v>151</v>
      </c>
      <c r="J10" s="36" t="s">
        <v>60</v>
      </c>
      <c r="K10" s="13"/>
      <c r="L10" s="13"/>
      <c r="M10" s="13"/>
    </row>
    <row r="11" spans="1:13" ht="17.5" thickBot="1">
      <c r="A11" s="38" t="s">
        <v>2</v>
      </c>
      <c r="B11" s="38" t="s">
        <v>4</v>
      </c>
      <c r="C11" s="38" t="s">
        <v>6</v>
      </c>
      <c r="D11" s="38" t="s">
        <v>23</v>
      </c>
      <c r="E11" s="38" t="s">
        <v>22</v>
      </c>
      <c r="F11" s="38" t="s">
        <v>61</v>
      </c>
      <c r="G11" s="38" t="s">
        <v>61</v>
      </c>
      <c r="H11" s="38" t="s">
        <v>61</v>
      </c>
      <c r="I11" s="38" t="s">
        <v>61</v>
      </c>
      <c r="J11" s="38" t="s">
        <v>63</v>
      </c>
      <c r="K11" s="13"/>
      <c r="L11" s="13"/>
      <c r="M11" s="13"/>
    </row>
    <row r="12" spans="1:13" ht="17">
      <c r="A12" s="40" t="s">
        <v>7</v>
      </c>
      <c r="B12" s="40" t="s">
        <v>7</v>
      </c>
      <c r="C12" s="40" t="s">
        <v>7</v>
      </c>
      <c r="D12" s="40" t="s">
        <v>7</v>
      </c>
      <c r="E12" s="40" t="s">
        <v>7</v>
      </c>
      <c r="F12" s="40" t="s">
        <v>64</v>
      </c>
      <c r="G12" s="40"/>
      <c r="H12" s="40" t="s">
        <v>60</v>
      </c>
      <c r="I12" s="40"/>
      <c r="J12" s="40" t="s">
        <v>60</v>
      </c>
      <c r="K12" s="13"/>
      <c r="L12" s="13"/>
      <c r="M12" s="13"/>
    </row>
    <row r="13" spans="1:13" ht="17">
      <c r="A13" s="36"/>
      <c r="B13" s="36"/>
      <c r="C13" s="36"/>
      <c r="D13" s="36"/>
      <c r="E13" s="36"/>
      <c r="F13" s="36"/>
      <c r="G13" s="36"/>
      <c r="H13" s="36"/>
      <c r="I13" s="36"/>
      <c r="J13" s="36"/>
      <c r="K13" s="13"/>
      <c r="L13" s="13"/>
      <c r="M13" s="13"/>
    </row>
    <row r="14" spans="1:13" ht="17">
      <c r="A14" s="13"/>
      <c r="B14" s="13"/>
      <c r="C14" s="13"/>
      <c r="D14" s="13"/>
      <c r="E14" s="13"/>
      <c r="F14" s="13"/>
      <c r="G14" s="13"/>
      <c r="H14" s="13"/>
      <c r="I14" s="13"/>
      <c r="J14" s="13"/>
      <c r="K14" s="13"/>
      <c r="L14" s="13"/>
      <c r="M14" s="13"/>
    </row>
    <row r="15" spans="1:13" ht="17.5">
      <c r="A15" s="65" t="str">
        <f>+'S&amp;D'!A22</f>
        <v>Atmos Energy Corp</v>
      </c>
      <c r="B15" s="92" t="str">
        <f>+'S&amp;D'!B22</f>
        <v>ATO</v>
      </c>
      <c r="C15" s="92" t="str">
        <f>+'S&amp;D'!C22</f>
        <v>Gas Utility</v>
      </c>
      <c r="D15" s="56">
        <f>+'Beta for CAPM'!D18</f>
        <v>0.15</v>
      </c>
      <c r="E15" s="36" t="str">
        <f>+'Beta for CAPM'!G18</f>
        <v>A+</v>
      </c>
      <c r="F15" s="36" t="s">
        <v>54</v>
      </c>
      <c r="G15" s="299">
        <v>7</v>
      </c>
      <c r="H15" s="64" t="s">
        <v>73</v>
      </c>
      <c r="I15" s="299">
        <v>7</v>
      </c>
      <c r="J15" s="68">
        <v>5.4199999999999998E-2</v>
      </c>
      <c r="K15" s="13" t="s">
        <v>0</v>
      </c>
      <c r="L15" s="13"/>
      <c r="M15" s="13"/>
    </row>
    <row r="16" spans="1:13" ht="17.5">
      <c r="A16" s="65" t="str">
        <f>+'S&amp;D'!A23</f>
        <v>Black Hills Corporation</v>
      </c>
      <c r="B16" s="92" t="str">
        <f>+'S&amp;D'!B23</f>
        <v>BKH</v>
      </c>
      <c r="C16" s="92" t="str">
        <f>+'S&amp;D'!C23</f>
        <v>Electric Utility - West</v>
      </c>
      <c r="D16" s="56">
        <f>+'Beta for CAPM'!D19</f>
        <v>8.5000000000000006E-2</v>
      </c>
      <c r="E16" s="36" t="str">
        <f>+'Beta for CAPM'!G19</f>
        <v>B++</v>
      </c>
      <c r="F16" s="36" t="s">
        <v>69</v>
      </c>
      <c r="G16" s="299">
        <v>10</v>
      </c>
      <c r="H16" s="64" t="s">
        <v>68</v>
      </c>
      <c r="I16" s="299">
        <v>11</v>
      </c>
      <c r="J16" s="68">
        <v>5.6800000000000003E-2</v>
      </c>
      <c r="K16" s="13" t="s">
        <v>0</v>
      </c>
      <c r="L16" s="13"/>
      <c r="M16" s="13"/>
    </row>
    <row r="17" spans="1:13" ht="17.5">
      <c r="A17" s="65" t="str">
        <f>+'S&amp;D'!A24</f>
        <v>CenterPoint Energy Inc.</v>
      </c>
      <c r="B17" s="92" t="str">
        <f>+'S&amp;D'!B24</f>
        <v>CNP</v>
      </c>
      <c r="C17" s="92" t="str">
        <f>+'S&amp;D'!C24</f>
        <v>Electric Utility - Central</v>
      </c>
      <c r="D17" s="56">
        <f>+'Beta for CAPM'!D20</f>
        <v>0.16</v>
      </c>
      <c r="E17" s="36" t="str">
        <f>+'Beta for CAPM'!G20</f>
        <v>B++</v>
      </c>
      <c r="F17" s="36" t="s">
        <v>69</v>
      </c>
      <c r="G17" s="299">
        <v>10</v>
      </c>
      <c r="H17" s="64" t="s">
        <v>68</v>
      </c>
      <c r="I17" s="299">
        <v>11</v>
      </c>
      <c r="J17" s="68">
        <v>5.6800000000000003E-2</v>
      </c>
      <c r="K17" s="13" t="s">
        <v>0</v>
      </c>
      <c r="L17" s="13"/>
      <c r="M17" s="13"/>
    </row>
    <row r="18" spans="1:13" ht="17.5">
      <c r="A18" s="65" t="str">
        <f>+'S&amp;D'!A25</f>
        <v>CMS Energy Corporation</v>
      </c>
      <c r="B18" s="92" t="str">
        <f>+'S&amp;D'!B25</f>
        <v>CMS</v>
      </c>
      <c r="C18" s="92" t="str">
        <f>+'S&amp;D'!C25</f>
        <v>Electric Utility - Central</v>
      </c>
      <c r="D18" s="56">
        <f>+'Beta for CAPM'!D21</f>
        <v>0.155</v>
      </c>
      <c r="E18" s="36" t="str">
        <f>+'Beta for CAPM'!G21</f>
        <v>A</v>
      </c>
      <c r="F18" s="36" t="s">
        <v>69</v>
      </c>
      <c r="G18" s="299">
        <v>10</v>
      </c>
      <c r="H18" s="64" t="s">
        <v>68</v>
      </c>
      <c r="I18" s="299">
        <v>11</v>
      </c>
      <c r="J18" s="68">
        <v>5.6800000000000003E-2</v>
      </c>
      <c r="K18" s="13" t="s">
        <v>0</v>
      </c>
      <c r="L18" s="13"/>
      <c r="M18" s="13"/>
    </row>
    <row r="19" spans="1:13" ht="17.5">
      <c r="A19" s="65" t="str">
        <f>+'S&amp;D'!A26</f>
        <v>New Jersey Resources Corp</v>
      </c>
      <c r="B19" s="92" t="str">
        <f>+'S&amp;D'!B26</f>
        <v>NJR</v>
      </c>
      <c r="C19" s="92" t="str">
        <f>+'S&amp;D'!C26</f>
        <v>Gas Utility</v>
      </c>
      <c r="D19" s="56">
        <f>+'Beta for CAPM'!D22</f>
        <v>0.22</v>
      </c>
      <c r="E19" s="36" t="str">
        <f>+'Beta for CAPM'!G22</f>
        <v>A</v>
      </c>
      <c r="F19" s="36" t="s">
        <v>54</v>
      </c>
      <c r="G19" s="299">
        <v>7</v>
      </c>
      <c r="H19" s="64" t="s">
        <v>73</v>
      </c>
      <c r="I19" s="299">
        <v>7</v>
      </c>
      <c r="J19" s="68">
        <v>5.4199999999999998E-2</v>
      </c>
      <c r="K19" s="13" t="s">
        <v>0</v>
      </c>
      <c r="L19" s="13"/>
      <c r="M19" s="13"/>
    </row>
    <row r="20" spans="1:13" ht="17.5">
      <c r="A20" s="65" t="str">
        <f>+'S&amp;D'!A27</f>
        <v>NISOURCE Inc.</v>
      </c>
      <c r="B20" s="92" t="str">
        <f>+'S&amp;D'!B27</f>
        <v>NI</v>
      </c>
      <c r="C20" s="92" t="str">
        <f>+'S&amp;D'!C27</f>
        <v>Gas Utility</v>
      </c>
      <c r="D20" s="56">
        <f>+'Beta for CAPM'!D23</f>
        <v>0.19</v>
      </c>
      <c r="E20" s="36" t="str">
        <f>+'Beta for CAPM'!G23</f>
        <v>B++</v>
      </c>
      <c r="F20" s="36" t="s">
        <v>69</v>
      </c>
      <c r="G20" s="299">
        <v>10</v>
      </c>
      <c r="H20" s="64" t="s">
        <v>68</v>
      </c>
      <c r="I20" s="299">
        <v>11</v>
      </c>
      <c r="J20" s="68">
        <v>5.6800000000000003E-2</v>
      </c>
      <c r="K20" s="13" t="s">
        <v>0</v>
      </c>
      <c r="L20" s="13"/>
      <c r="M20" s="13"/>
    </row>
    <row r="21" spans="1:13" ht="17.5">
      <c r="A21" s="65" t="str">
        <f>+'S&amp;D'!A28</f>
        <v xml:space="preserve">Northwest Natural Holding Company </v>
      </c>
      <c r="B21" s="92" t="str">
        <f>+'S&amp;D'!B28</f>
        <v>NWN</v>
      </c>
      <c r="C21" s="92" t="str">
        <f>+'S&amp;D'!C28</f>
        <v>Gas Utility</v>
      </c>
      <c r="D21" s="56">
        <f>+'Beta for CAPM'!D24</f>
        <v>0.25</v>
      </c>
      <c r="E21" s="36" t="str">
        <f>+'Beta for CAPM'!G24</f>
        <v>A</v>
      </c>
      <c r="F21" s="36" t="s">
        <v>192</v>
      </c>
      <c r="G21" s="299">
        <v>6</v>
      </c>
      <c r="H21" s="64" t="s">
        <v>527</v>
      </c>
      <c r="I21" s="299">
        <v>10</v>
      </c>
      <c r="J21" s="68">
        <v>5.6800000000000003E-2</v>
      </c>
      <c r="K21" s="14" t="s">
        <v>0</v>
      </c>
      <c r="L21" s="13"/>
      <c r="M21" s="13"/>
    </row>
    <row r="22" spans="1:13" ht="17.5">
      <c r="A22" s="65" t="str">
        <f>+'S&amp;D'!A29</f>
        <v>One Gas INC</v>
      </c>
      <c r="B22" s="92" t="str">
        <f>+'S&amp;D'!B29</f>
        <v>OGS</v>
      </c>
      <c r="C22" s="92" t="str">
        <f>+'S&amp;D'!C29</f>
        <v>Gas Utility</v>
      </c>
      <c r="D22" s="56">
        <f>+'Beta for CAPM'!D25</f>
        <v>0.155</v>
      </c>
      <c r="E22" s="36" t="str">
        <f>+'Beta for CAPM'!G25</f>
        <v>B++</v>
      </c>
      <c r="F22" s="36" t="s">
        <v>77</v>
      </c>
      <c r="G22" s="299">
        <v>9</v>
      </c>
      <c r="H22" s="64" t="s">
        <v>528</v>
      </c>
      <c r="I22" s="299">
        <v>9</v>
      </c>
      <c r="J22" s="68">
        <v>5.4199999999999998E-2</v>
      </c>
      <c r="K22" s="13" t="s">
        <v>0</v>
      </c>
      <c r="L22" s="13"/>
      <c r="M22" s="13"/>
    </row>
    <row r="23" spans="1:13" ht="17.5">
      <c r="A23" s="65" t="str">
        <f>+'S&amp;D'!A30</f>
        <v>Southwest Gas Holdings, Inc</v>
      </c>
      <c r="B23" s="92" t="str">
        <f>+'S&amp;D'!B30</f>
        <v>SWX</v>
      </c>
      <c r="C23" s="92" t="str">
        <f>+'S&amp;D'!C30</f>
        <v>Gas Utility</v>
      </c>
      <c r="D23" s="56">
        <f>+'Beta for CAPM'!D26</f>
        <v>0.21</v>
      </c>
      <c r="E23" s="36" t="s">
        <v>26</v>
      </c>
      <c r="F23" s="36" t="s">
        <v>70</v>
      </c>
      <c r="G23" s="299">
        <v>11</v>
      </c>
      <c r="H23" s="64" t="s">
        <v>529</v>
      </c>
      <c r="I23" s="299">
        <v>11</v>
      </c>
      <c r="J23" s="68">
        <v>5.6800000000000003E-2</v>
      </c>
      <c r="K23" s="13"/>
      <c r="L23" s="13"/>
      <c r="M23" s="13"/>
    </row>
    <row r="24" spans="1:13" ht="17.5">
      <c r="A24" s="65" t="str">
        <f>+'S&amp;D'!A31</f>
        <v>Spire Inc / Laclede Group Inc</v>
      </c>
      <c r="B24" s="92" t="str">
        <f>+'S&amp;D'!B31</f>
        <v>SR</v>
      </c>
      <c r="C24" s="92" t="str">
        <f>+'S&amp;D'!C31</f>
        <v>Gas Utility</v>
      </c>
      <c r="D24" s="56">
        <f>+'Beta for CAPM'!D27</f>
        <v>0.18</v>
      </c>
      <c r="E24" s="36" t="str">
        <f>+'Beta for CAPM'!G27</f>
        <v>B++</v>
      </c>
      <c r="F24" s="36" t="s">
        <v>69</v>
      </c>
      <c r="G24" s="299">
        <v>10</v>
      </c>
      <c r="H24" s="64" t="s">
        <v>530</v>
      </c>
      <c r="I24" s="299">
        <v>11</v>
      </c>
      <c r="J24" s="68">
        <v>5.6800000000000003E-2</v>
      </c>
      <c r="K24" s="13" t="s">
        <v>0</v>
      </c>
      <c r="L24" s="13"/>
      <c r="M24" s="13"/>
    </row>
    <row r="25" spans="1:13" ht="17.5">
      <c r="A25" s="65" t="str">
        <f>+'S&amp;D'!A32</f>
        <v>WEC Energy Group</v>
      </c>
      <c r="B25" s="92" t="str">
        <f>+'S&amp;D'!B32</f>
        <v>WEC</v>
      </c>
      <c r="C25" s="92" t="str">
        <f>+'S&amp;D'!C32</f>
        <v>Electric Utility - Central</v>
      </c>
      <c r="D25" s="56">
        <f>+'Beta for CAPM'!D28</f>
        <v>0.19</v>
      </c>
      <c r="E25" s="36" t="str">
        <f>+'Beta for CAPM'!G28</f>
        <v>A+</v>
      </c>
      <c r="F25" s="36" t="s">
        <v>77</v>
      </c>
      <c r="G25" s="299">
        <v>9</v>
      </c>
      <c r="H25" s="64" t="s">
        <v>67</v>
      </c>
      <c r="I25" s="299">
        <v>10</v>
      </c>
      <c r="J25" s="68">
        <v>5.6800000000000003E-2</v>
      </c>
      <c r="K25" s="13" t="s">
        <v>0</v>
      </c>
      <c r="L25" s="13"/>
      <c r="M25" s="13"/>
    </row>
    <row r="26" spans="1:13" ht="17.5" thickBot="1">
      <c r="A26" s="13"/>
      <c r="B26" s="13"/>
      <c r="C26" s="45"/>
      <c r="D26" s="48"/>
      <c r="E26" s="48"/>
      <c r="F26" s="48"/>
      <c r="G26" s="294"/>
      <c r="H26" s="48" t="s">
        <v>55</v>
      </c>
      <c r="I26" s="48"/>
      <c r="J26" s="48"/>
      <c r="K26" s="13"/>
      <c r="L26" s="13"/>
      <c r="M26" s="13"/>
    </row>
    <row r="27" spans="1:13" ht="17.5" thickTop="1">
      <c r="A27" s="13"/>
      <c r="B27" s="13"/>
      <c r="E27" s="15" t="s">
        <v>56</v>
      </c>
      <c r="F27" s="36"/>
      <c r="G27" s="293">
        <f t="shared" ref="G27:J27" si="0">MAX(G15:G25)</f>
        <v>11</v>
      </c>
      <c r="I27" s="293">
        <f t="shared" si="0"/>
        <v>11</v>
      </c>
      <c r="J27" s="55">
        <f t="shared" si="0"/>
        <v>5.6800000000000003E-2</v>
      </c>
      <c r="K27" s="13"/>
      <c r="L27" s="13"/>
      <c r="M27" s="13"/>
    </row>
    <row r="28" spans="1:13" ht="17">
      <c r="A28" s="13"/>
      <c r="B28" s="13"/>
      <c r="E28" s="296" t="s">
        <v>57</v>
      </c>
      <c r="F28" s="129"/>
      <c r="G28" s="297">
        <f t="shared" ref="G28:J28" si="1">MIN(G15:G25)</f>
        <v>6</v>
      </c>
      <c r="H28" s="252"/>
      <c r="I28" s="297">
        <f t="shared" si="1"/>
        <v>7</v>
      </c>
      <c r="J28" s="298">
        <f t="shared" si="1"/>
        <v>5.4199999999999998E-2</v>
      </c>
      <c r="K28" s="13"/>
      <c r="L28" s="13"/>
      <c r="M28" s="13"/>
    </row>
    <row r="29" spans="1:13" ht="17">
      <c r="A29" s="13"/>
      <c r="B29" s="13"/>
      <c r="E29" s="15" t="s">
        <v>18</v>
      </c>
      <c r="F29" s="58" t="s">
        <v>0</v>
      </c>
      <c r="G29" s="226">
        <f>MEDIAN(G15:G25)</f>
        <v>10</v>
      </c>
      <c r="I29" s="226">
        <f>MEDIAN(I15:I25)</f>
        <v>11</v>
      </c>
      <c r="J29" s="58">
        <f>MEDIAN(J15:J25)</f>
        <v>5.6800000000000003E-2</v>
      </c>
      <c r="K29" s="13"/>
      <c r="L29" s="13"/>
      <c r="M29" s="13"/>
    </row>
    <row r="30" spans="1:13" ht="17">
      <c r="A30" s="13"/>
      <c r="B30" s="13"/>
      <c r="D30" s="15" t="s">
        <v>0</v>
      </c>
      <c r="E30" s="15" t="s">
        <v>448</v>
      </c>
      <c r="F30" s="15"/>
      <c r="G30" s="227">
        <f>AVERAGE(G15:G25)</f>
        <v>9</v>
      </c>
      <c r="I30" s="227">
        <f>AVERAGE(I15:I25)</f>
        <v>9.9090909090909083</v>
      </c>
      <c r="J30" s="58">
        <f>AVERAGE(J15:J25)</f>
        <v>5.6090909090909087E-2</v>
      </c>
      <c r="K30" s="13"/>
      <c r="L30" s="13"/>
      <c r="M30" s="13"/>
    </row>
    <row r="31" spans="1:13" ht="17">
      <c r="A31" s="13"/>
      <c r="B31" s="13"/>
      <c r="D31" s="59" t="s">
        <v>0</v>
      </c>
      <c r="E31" s="15" t="s">
        <v>289</v>
      </c>
      <c r="F31" s="15"/>
      <c r="G31" s="227">
        <f>TRIMMEAN(G15:G25,(2/COUNT(G15:G25)))</f>
        <v>9.1111111111111107</v>
      </c>
      <c r="I31" s="227">
        <f>TRIMMEAN(I15:I25,(2/COUNT(I15:I25)))</f>
        <v>10.111111111111111</v>
      </c>
      <c r="J31" s="58">
        <f>TRIMMEAN(J15:J25,(2/COUNT(J15:J25)))</f>
        <v>5.6222222222222222E-2</v>
      </c>
      <c r="K31" s="13"/>
      <c r="L31" s="13"/>
      <c r="M31" s="13"/>
    </row>
    <row r="32" spans="1:13" ht="17.5" thickBot="1">
      <c r="A32" s="13"/>
      <c r="B32" s="13"/>
      <c r="C32" s="13"/>
      <c r="D32" s="13"/>
      <c r="E32" s="15"/>
      <c r="F32" s="59"/>
      <c r="G32" s="13"/>
      <c r="H32" s="13"/>
      <c r="I32" s="13"/>
      <c r="J32" s="13"/>
      <c r="K32" s="13"/>
      <c r="L32" s="13"/>
      <c r="M32" s="13"/>
    </row>
    <row r="33" spans="1:13" ht="26" thickBot="1">
      <c r="A33" s="13"/>
      <c r="B33" s="13"/>
      <c r="C33" s="13"/>
      <c r="D33" s="13"/>
      <c r="E33" s="13"/>
      <c r="F33" s="197"/>
      <c r="G33" s="295"/>
      <c r="H33" s="198" t="s">
        <v>264</v>
      </c>
      <c r="I33" s="368">
        <v>10</v>
      </c>
      <c r="J33" s="369">
        <v>5.6099999999999997E-2</v>
      </c>
      <c r="K33" s="13"/>
      <c r="L33" s="13"/>
      <c r="M33" s="13"/>
    </row>
    <row r="34" spans="1:13" ht="17">
      <c r="A34" s="13"/>
      <c r="B34" s="13"/>
      <c r="C34" s="13"/>
      <c r="D34" s="13"/>
      <c r="E34" s="13"/>
      <c r="F34" s="13"/>
      <c r="G34" s="13"/>
      <c r="H34" s="13"/>
      <c r="I34" s="13"/>
      <c r="J34" s="13"/>
      <c r="K34" s="13"/>
      <c r="L34" s="13"/>
      <c r="M34" s="13"/>
    </row>
    <row r="35" spans="1:13" ht="17">
      <c r="A35" s="13"/>
      <c r="B35" s="13"/>
      <c r="C35" s="13"/>
      <c r="D35" s="13"/>
      <c r="E35" s="13"/>
      <c r="F35" s="13"/>
      <c r="G35" s="13"/>
      <c r="H35" s="13"/>
      <c r="I35" s="13"/>
      <c r="J35" s="13"/>
      <c r="K35" s="13"/>
      <c r="L35" s="13"/>
      <c r="M35" s="13"/>
    </row>
    <row r="36" spans="1:13" ht="17">
      <c r="A36" s="13"/>
      <c r="B36" s="13"/>
      <c r="C36" s="13"/>
      <c r="D36" s="13"/>
      <c r="E36" s="13"/>
      <c r="F36" s="13"/>
      <c r="G36" s="13"/>
      <c r="H36" s="13"/>
      <c r="I36" s="13"/>
      <c r="J36" s="13"/>
      <c r="K36" s="13"/>
      <c r="L36" s="13"/>
      <c r="M36" s="13"/>
    </row>
    <row r="37" spans="1:13" ht="21.5" thickBot="1">
      <c r="A37" s="283" t="s">
        <v>165</v>
      </c>
      <c r="B37" s="13"/>
      <c r="G37" s="13"/>
      <c r="H37" s="13"/>
      <c r="I37" s="13"/>
      <c r="J37" s="13"/>
      <c r="K37" s="13"/>
      <c r="L37" s="13"/>
      <c r="M37" s="13"/>
    </row>
    <row r="38" spans="1:13" ht="29.5" thickBot="1">
      <c r="A38" s="441" t="s">
        <v>402</v>
      </c>
      <c r="B38" s="441" t="s">
        <v>356</v>
      </c>
      <c r="C38" s="441" t="s">
        <v>450</v>
      </c>
      <c r="D38" s="462" t="s">
        <v>533</v>
      </c>
      <c r="E38" s="462" t="s">
        <v>534</v>
      </c>
      <c r="F38" s="13"/>
      <c r="G38" s="13"/>
      <c r="H38" s="13"/>
      <c r="I38" s="13"/>
      <c r="M38" s="13"/>
    </row>
    <row r="39" spans="1:13" ht="17.5">
      <c r="A39" s="288" t="s">
        <v>361</v>
      </c>
      <c r="B39" s="289">
        <v>1</v>
      </c>
      <c r="C39" s="290" t="s">
        <v>362</v>
      </c>
      <c r="D39" s="442" t="s">
        <v>0</v>
      </c>
      <c r="E39" s="442" t="s">
        <v>0</v>
      </c>
      <c r="F39" s="13"/>
      <c r="G39" s="13"/>
      <c r="H39" s="13"/>
      <c r="I39" s="13"/>
      <c r="M39" s="13"/>
    </row>
    <row r="40" spans="1:13" ht="17.5">
      <c r="A40" s="60" t="s">
        <v>363</v>
      </c>
      <c r="B40" s="284">
        <v>2</v>
      </c>
      <c r="C40" s="291" t="s">
        <v>344</v>
      </c>
      <c r="D40" s="443">
        <v>4.7399999999999998E-2</v>
      </c>
      <c r="E40" s="443">
        <v>4.7399999999999998E-2</v>
      </c>
      <c r="F40" s="13" t="s">
        <v>219</v>
      </c>
      <c r="H40" s="13"/>
      <c r="I40" s="13"/>
      <c r="J40" s="13"/>
      <c r="M40" s="13"/>
    </row>
    <row r="41" spans="1:13" ht="18" thickBot="1">
      <c r="A41" s="61" t="s">
        <v>364</v>
      </c>
      <c r="B41" s="286">
        <v>3</v>
      </c>
      <c r="C41" s="292" t="s">
        <v>365</v>
      </c>
      <c r="D41" s="444"/>
      <c r="E41" s="444"/>
      <c r="F41" s="13"/>
      <c r="H41" s="13"/>
      <c r="I41" s="13"/>
      <c r="J41" s="13"/>
      <c r="M41" s="13"/>
    </row>
    <row r="42" spans="1:13" ht="17.5">
      <c r="A42" s="60" t="s">
        <v>164</v>
      </c>
      <c r="B42" s="284">
        <v>4</v>
      </c>
      <c r="C42" s="285" t="s">
        <v>345</v>
      </c>
      <c r="D42" s="443"/>
      <c r="E42" s="443"/>
      <c r="F42" s="13"/>
      <c r="H42" s="13"/>
      <c r="I42" s="13"/>
      <c r="J42" s="13"/>
      <c r="M42" s="13"/>
    </row>
    <row r="43" spans="1:13" ht="17.5">
      <c r="A43" s="60" t="s">
        <v>163</v>
      </c>
      <c r="B43" s="284">
        <v>5</v>
      </c>
      <c r="C43" s="285" t="s">
        <v>346</v>
      </c>
      <c r="D43" s="443">
        <v>5.0500000000000003E-2</v>
      </c>
      <c r="E43" s="443">
        <v>5.2699999999999997E-2</v>
      </c>
      <c r="F43" s="13" t="s">
        <v>347</v>
      </c>
      <c r="H43" s="13"/>
      <c r="I43" s="13"/>
      <c r="J43" s="13"/>
      <c r="M43" s="13"/>
    </row>
    <row r="44" spans="1:13" ht="18" thickBot="1">
      <c r="A44" s="61" t="s">
        <v>162</v>
      </c>
      <c r="B44" s="286">
        <v>6</v>
      </c>
      <c r="C44" s="287" t="s">
        <v>192</v>
      </c>
      <c r="D44" s="445" t="s">
        <v>0</v>
      </c>
      <c r="E44" s="445" t="s">
        <v>0</v>
      </c>
      <c r="F44" s="13"/>
      <c r="H44" s="13"/>
      <c r="I44" s="13"/>
      <c r="J44" s="13"/>
      <c r="M44" s="13"/>
    </row>
    <row r="45" spans="1:13" ht="17.5">
      <c r="A45" s="60" t="s">
        <v>73</v>
      </c>
      <c r="B45" s="284">
        <v>7</v>
      </c>
      <c r="C45" s="285" t="s">
        <v>54</v>
      </c>
      <c r="D45" s="446" t="s">
        <v>0</v>
      </c>
      <c r="E45" s="446" t="s">
        <v>0</v>
      </c>
      <c r="H45" s="13"/>
      <c r="I45" s="13"/>
      <c r="J45" s="13"/>
      <c r="M45" s="13"/>
    </row>
    <row r="46" spans="1:13" ht="17.5">
      <c r="A46" s="60" t="s">
        <v>161</v>
      </c>
      <c r="B46" s="284">
        <v>8</v>
      </c>
      <c r="C46" s="285" t="s">
        <v>24</v>
      </c>
      <c r="D46" s="447">
        <v>5.2499999999999998E-2</v>
      </c>
      <c r="E46" s="447">
        <v>5.4199999999999998E-2</v>
      </c>
      <c r="F46" s="13" t="s">
        <v>220</v>
      </c>
      <c r="H46" s="13"/>
      <c r="I46" s="13"/>
      <c r="J46" s="13"/>
      <c r="K46" s="13"/>
      <c r="L46" s="13"/>
      <c r="M46" s="13"/>
    </row>
    <row r="47" spans="1:13" ht="18" thickBot="1">
      <c r="A47" s="61" t="s">
        <v>75</v>
      </c>
      <c r="B47" s="286">
        <v>9</v>
      </c>
      <c r="C47" s="287" t="s">
        <v>77</v>
      </c>
      <c r="D47" s="445"/>
      <c r="E47" s="445"/>
      <c r="F47" s="13"/>
      <c r="H47" s="13"/>
      <c r="I47" s="13"/>
      <c r="J47" s="13"/>
      <c r="K47" s="13"/>
      <c r="L47" s="13"/>
      <c r="M47" s="13"/>
    </row>
    <row r="48" spans="1:13" ht="17.5">
      <c r="A48" s="60" t="s">
        <v>67</v>
      </c>
      <c r="B48" s="284">
        <v>10</v>
      </c>
      <c r="C48" s="285" t="s">
        <v>69</v>
      </c>
      <c r="D48" s="447"/>
      <c r="E48" s="447"/>
      <c r="H48" s="13"/>
      <c r="I48" s="13"/>
      <c r="J48" s="13"/>
      <c r="K48" s="13"/>
      <c r="L48" s="13"/>
      <c r="M48" s="13"/>
    </row>
    <row r="49" spans="1:13" ht="17.5">
      <c r="A49" s="60" t="s">
        <v>68</v>
      </c>
      <c r="B49" s="284">
        <v>11</v>
      </c>
      <c r="C49" s="285" t="s">
        <v>70</v>
      </c>
      <c r="D49" s="447">
        <v>5.6399999999999999E-2</v>
      </c>
      <c r="E49" s="447">
        <v>5.6800000000000003E-2</v>
      </c>
      <c r="F49" s="13" t="s">
        <v>223</v>
      </c>
      <c r="H49" s="13"/>
      <c r="I49" s="13"/>
      <c r="J49" s="13"/>
      <c r="K49" s="13"/>
      <c r="L49" s="13"/>
      <c r="M49" s="13"/>
    </row>
    <row r="50" spans="1:13" ht="18" thickBot="1">
      <c r="A50" s="61" t="s">
        <v>76</v>
      </c>
      <c r="B50" s="286">
        <v>12</v>
      </c>
      <c r="C50" s="287" t="s">
        <v>78</v>
      </c>
      <c r="D50" s="447" t="s">
        <v>0</v>
      </c>
      <c r="E50" s="447" t="s">
        <v>0</v>
      </c>
      <c r="F50" s="13"/>
      <c r="H50" s="13"/>
      <c r="I50" s="13"/>
      <c r="J50" s="13"/>
      <c r="K50" s="13"/>
      <c r="L50" s="13"/>
      <c r="M50" s="13"/>
    </row>
    <row r="51" spans="1:13" ht="17.5">
      <c r="A51" s="60" t="s">
        <v>74</v>
      </c>
      <c r="B51" s="284">
        <v>13</v>
      </c>
      <c r="C51" s="285" t="s">
        <v>348</v>
      </c>
      <c r="D51" s="446" t="s">
        <v>0</v>
      </c>
      <c r="E51" s="446" t="s">
        <v>0</v>
      </c>
      <c r="H51" s="13"/>
      <c r="I51" s="13"/>
      <c r="J51" s="13"/>
      <c r="K51" s="13"/>
      <c r="L51" s="13"/>
      <c r="M51" s="13"/>
    </row>
    <row r="52" spans="1:13" ht="17.5">
      <c r="A52" s="60" t="s">
        <v>160</v>
      </c>
      <c r="B52" s="284">
        <v>14</v>
      </c>
      <c r="C52" s="285" t="s">
        <v>349</v>
      </c>
      <c r="D52" s="443">
        <v>6.8500000000000005E-2</v>
      </c>
      <c r="E52" s="443">
        <v>6.9000000000000006E-2</v>
      </c>
      <c r="F52" s="13" t="s">
        <v>222</v>
      </c>
      <c r="H52" s="13"/>
      <c r="I52" s="13"/>
      <c r="J52" s="13"/>
      <c r="K52" s="13"/>
      <c r="L52" s="13"/>
      <c r="M52" s="13"/>
    </row>
    <row r="53" spans="1:13" ht="18" thickBot="1">
      <c r="A53" s="61" t="s">
        <v>159</v>
      </c>
      <c r="B53" s="286">
        <v>15</v>
      </c>
      <c r="C53" s="287" t="s">
        <v>350</v>
      </c>
      <c r="D53" s="444" t="s">
        <v>0</v>
      </c>
      <c r="E53" s="444" t="s">
        <v>0</v>
      </c>
      <c r="F53" s="13"/>
      <c r="H53" s="13"/>
      <c r="I53" s="13"/>
      <c r="J53" s="13"/>
      <c r="K53" s="13"/>
      <c r="L53" s="13"/>
      <c r="M53" s="13"/>
    </row>
    <row r="54" spans="1:13" ht="17.5">
      <c r="A54" s="60" t="s">
        <v>158</v>
      </c>
      <c r="B54" s="284">
        <v>16</v>
      </c>
      <c r="C54" s="285" t="s">
        <v>25</v>
      </c>
      <c r="D54" s="446"/>
      <c r="E54" s="446"/>
      <c r="H54" s="13"/>
      <c r="I54" s="13"/>
      <c r="J54" s="13"/>
      <c r="K54" s="13"/>
      <c r="L54" s="13"/>
      <c r="M54" s="13"/>
    </row>
    <row r="55" spans="1:13" ht="17.5">
      <c r="A55" s="60" t="s">
        <v>157</v>
      </c>
      <c r="B55" s="284">
        <v>17</v>
      </c>
      <c r="C55" s="285" t="s">
        <v>108</v>
      </c>
      <c r="D55" s="447">
        <v>7.46E-2</v>
      </c>
      <c r="E55" s="447">
        <v>7.6499999999999999E-2</v>
      </c>
      <c r="F55" s="13" t="s">
        <v>221</v>
      </c>
      <c r="H55" s="13"/>
      <c r="I55" s="13"/>
      <c r="J55" s="13"/>
      <c r="K55" s="13"/>
      <c r="L55" s="13"/>
      <c r="M55" s="13"/>
    </row>
    <row r="56" spans="1:13" ht="18" thickBot="1">
      <c r="A56" s="61" t="s">
        <v>156</v>
      </c>
      <c r="B56" s="286">
        <v>18</v>
      </c>
      <c r="C56" s="287" t="s">
        <v>351</v>
      </c>
      <c r="D56" s="444"/>
      <c r="E56" s="444"/>
      <c r="F56" s="13"/>
      <c r="H56" s="13"/>
      <c r="I56" s="13"/>
      <c r="J56" s="13"/>
      <c r="K56" s="13"/>
      <c r="L56" s="13"/>
      <c r="M56" s="13"/>
    </row>
    <row r="57" spans="1:13" ht="17.5">
      <c r="A57" s="60" t="s">
        <v>155</v>
      </c>
      <c r="B57" s="284">
        <v>19</v>
      </c>
      <c r="C57" s="285" t="s">
        <v>352</v>
      </c>
      <c r="D57" s="447"/>
      <c r="E57" s="447"/>
      <c r="H57" s="13"/>
      <c r="I57" s="13"/>
      <c r="J57" s="13"/>
      <c r="K57" s="13"/>
      <c r="L57" s="13"/>
      <c r="M57" s="13"/>
    </row>
    <row r="58" spans="1:13" ht="17.5">
      <c r="A58" s="60" t="s">
        <v>154</v>
      </c>
      <c r="B58" s="284">
        <v>20</v>
      </c>
      <c r="C58" s="285" t="s">
        <v>353</v>
      </c>
      <c r="D58" s="447">
        <v>8.0699999999999994E-2</v>
      </c>
      <c r="E58" s="447">
        <v>8.2799999999999999E-2</v>
      </c>
      <c r="F58" s="13" t="s">
        <v>218</v>
      </c>
      <c r="H58" s="13"/>
      <c r="I58" s="13"/>
      <c r="J58" s="13"/>
      <c r="K58" s="13"/>
      <c r="L58" s="13"/>
      <c r="M58" s="13"/>
    </row>
    <row r="59" spans="1:13" ht="18" thickBot="1">
      <c r="A59" s="61" t="s">
        <v>153</v>
      </c>
      <c r="B59" s="286">
        <v>21</v>
      </c>
      <c r="C59" s="448" t="s">
        <v>354</v>
      </c>
      <c r="D59" s="445"/>
      <c r="E59" s="445"/>
      <c r="F59" s="13"/>
      <c r="H59" s="13"/>
      <c r="I59" s="13"/>
      <c r="J59" s="13"/>
      <c r="K59" s="13"/>
      <c r="L59" s="13"/>
    </row>
    <row r="60" spans="1:13" ht="17.5">
      <c r="A60" s="449" t="s">
        <v>366</v>
      </c>
      <c r="B60" s="450">
        <v>22</v>
      </c>
      <c r="C60" s="451" t="s">
        <v>367</v>
      </c>
      <c r="D60" s="452"/>
      <c r="E60" s="452"/>
      <c r="H60" s="13"/>
      <c r="I60" s="13"/>
      <c r="J60" s="13"/>
    </row>
    <row r="61" spans="1:13" ht="17.5">
      <c r="A61" s="449" t="s">
        <v>368</v>
      </c>
      <c r="B61" s="453">
        <v>23</v>
      </c>
      <c r="C61" s="454" t="s">
        <v>355</v>
      </c>
      <c r="D61" s="455"/>
      <c r="E61" s="455"/>
      <c r="F61" s="13" t="s">
        <v>216</v>
      </c>
      <c r="H61" s="13"/>
      <c r="I61" s="13"/>
      <c r="J61" s="13"/>
    </row>
    <row r="62" spans="1:13" ht="18" thickBot="1">
      <c r="A62" s="456" t="s">
        <v>369</v>
      </c>
      <c r="B62" s="457">
        <v>24</v>
      </c>
      <c r="C62" s="448" t="s">
        <v>370</v>
      </c>
      <c r="D62" s="458"/>
      <c r="E62" s="458"/>
      <c r="F62" s="13"/>
      <c r="H62" s="13"/>
      <c r="I62" s="13"/>
      <c r="J62" s="13"/>
    </row>
    <row r="63" spans="1:13" ht="18" thickBot="1">
      <c r="A63" s="61" t="s">
        <v>291</v>
      </c>
      <c r="B63" s="286">
        <v>25</v>
      </c>
      <c r="C63" s="61" t="s">
        <v>109</v>
      </c>
      <c r="D63" s="459"/>
      <c r="E63" s="459"/>
      <c r="F63" s="13" t="s">
        <v>217</v>
      </c>
      <c r="H63" s="13"/>
      <c r="I63" s="13"/>
      <c r="J63" s="13"/>
    </row>
  </sheetData>
  <pageMargins left="0.25" right="0.25" top="0.75" bottom="0.75" header="0.3" footer="0.3"/>
  <pageSetup scale="4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40"/>
  <sheetViews>
    <sheetView view="pageBreakPreview" zoomScale="60" zoomScaleNormal="80" workbookViewId="0">
      <selection activeCell="N34" sqref="N34"/>
    </sheetView>
  </sheetViews>
  <sheetFormatPr defaultRowHeight="14.5"/>
  <cols>
    <col min="1" max="1" width="48.81640625" customWidth="1"/>
    <col min="2" max="2" width="11.54296875" customWidth="1"/>
    <col min="3" max="3" width="19.81640625" customWidth="1"/>
    <col min="4" max="4" width="24.7265625" customWidth="1"/>
    <col min="5" max="5" width="22.7265625" customWidth="1"/>
    <col min="6" max="7" width="21.26953125" customWidth="1"/>
    <col min="8" max="8" width="14.81640625" customWidth="1"/>
    <col min="9" max="9" width="18.453125" customWidth="1"/>
    <col min="10" max="10" width="21.26953125" customWidth="1"/>
    <col min="11" max="11" width="2.26953125" customWidth="1"/>
    <col min="12" max="12" width="22.7265625" customWidth="1"/>
    <col min="13" max="13" width="17.26953125" customWidth="1"/>
  </cols>
  <sheetData>
    <row r="1" spans="1:14" ht="25.5">
      <c r="A1" s="25" t="s">
        <v>1</v>
      </c>
      <c r="B1" s="13"/>
      <c r="C1" s="13"/>
      <c r="D1" s="13"/>
      <c r="E1" s="13"/>
      <c r="F1" s="13"/>
      <c r="G1" s="13"/>
      <c r="H1" s="13"/>
      <c r="I1" s="13"/>
      <c r="J1" s="13"/>
      <c r="K1" s="13"/>
      <c r="L1" s="13"/>
      <c r="M1" s="13"/>
      <c r="N1" s="13"/>
    </row>
    <row r="2" spans="1:14" ht="17.5">
      <c r="A2" s="65" t="s">
        <v>9</v>
      </c>
      <c r="B2" s="13"/>
      <c r="C2" s="13"/>
      <c r="D2" s="13"/>
      <c r="E2" s="13"/>
      <c r="F2" s="13"/>
      <c r="G2" s="13"/>
      <c r="H2" s="13"/>
      <c r="I2" s="13"/>
      <c r="J2" s="13"/>
      <c r="K2" s="13"/>
      <c r="L2" s="13"/>
      <c r="M2" s="13"/>
      <c r="N2" s="13"/>
    </row>
    <row r="3" spans="1:14" ht="17">
      <c r="A3" s="27" t="s">
        <v>487</v>
      </c>
      <c r="B3" s="13"/>
      <c r="C3" s="13"/>
      <c r="D3" s="13"/>
      <c r="E3" s="13"/>
      <c r="F3" s="13"/>
      <c r="G3" s="13"/>
      <c r="H3" s="13"/>
      <c r="I3" s="13"/>
      <c r="J3" s="13"/>
      <c r="K3" s="13"/>
      <c r="L3" s="13"/>
      <c r="M3" s="13"/>
      <c r="N3" s="13"/>
    </row>
    <row r="4" spans="1:14" ht="17">
      <c r="A4" s="13"/>
      <c r="B4" s="13"/>
      <c r="C4" s="13"/>
      <c r="D4" s="28" t="s">
        <v>0</v>
      </c>
      <c r="E4" s="13"/>
      <c r="F4" s="13"/>
      <c r="G4" s="13"/>
      <c r="H4" s="13"/>
      <c r="I4" s="13"/>
      <c r="J4" s="13"/>
      <c r="K4" s="13"/>
      <c r="L4" s="13"/>
      <c r="M4" s="13"/>
      <c r="N4" s="13"/>
    </row>
    <row r="5" spans="1:14" ht="18" thickBot="1">
      <c r="A5" s="65"/>
      <c r="B5" s="13"/>
      <c r="C5" s="13"/>
      <c r="D5" s="13"/>
      <c r="E5" s="13"/>
      <c r="F5" s="13"/>
      <c r="G5" s="13"/>
      <c r="H5" s="13"/>
      <c r="I5" s="13"/>
      <c r="J5" s="13"/>
      <c r="K5" s="13"/>
      <c r="L5" s="13"/>
      <c r="M5" s="13"/>
      <c r="N5" s="13"/>
    </row>
    <row r="6" spans="1:14" ht="18" thickBot="1">
      <c r="A6" s="274" t="str">
        <f>+'S&amp;D'!A12</f>
        <v>Natural Gas Utility Distribution</v>
      </c>
      <c r="B6" s="202"/>
      <c r="C6" s="13"/>
      <c r="D6" s="13"/>
      <c r="E6" s="13"/>
      <c r="F6" s="13"/>
      <c r="G6" s="13"/>
      <c r="H6" s="13"/>
      <c r="I6" s="13"/>
      <c r="J6" s="13"/>
      <c r="K6" s="13"/>
      <c r="L6" s="13"/>
      <c r="M6" s="13"/>
      <c r="N6" s="13"/>
    </row>
    <row r="7" spans="1:14" ht="17.5">
      <c r="A7" s="65"/>
      <c r="B7" s="13"/>
      <c r="C7" s="13"/>
      <c r="D7" s="13"/>
      <c r="E7" s="13"/>
      <c r="F7" s="13"/>
      <c r="G7" s="13"/>
      <c r="H7" s="13"/>
      <c r="I7" s="13"/>
      <c r="J7" s="13"/>
      <c r="K7" s="13"/>
      <c r="L7" s="13"/>
      <c r="M7" s="13"/>
      <c r="N7" s="13"/>
    </row>
    <row r="8" spans="1:14" ht="18" thickBot="1">
      <c r="A8" s="65"/>
      <c r="B8" s="30"/>
      <c r="C8" s="30"/>
      <c r="D8" s="30"/>
      <c r="E8" s="30"/>
      <c r="F8" s="13"/>
      <c r="G8" s="13"/>
      <c r="H8" s="30"/>
      <c r="I8" s="30"/>
      <c r="J8" s="30"/>
      <c r="K8" s="30"/>
      <c r="L8" s="30"/>
      <c r="M8" s="30"/>
      <c r="N8" s="13"/>
    </row>
    <row r="9" spans="1:14" ht="25.5">
      <c r="B9" s="13"/>
      <c r="C9" s="13"/>
      <c r="D9" s="33" t="s">
        <v>331</v>
      </c>
      <c r="E9" s="13"/>
      <c r="F9" s="13"/>
      <c r="G9" s="13"/>
      <c r="H9" s="13"/>
      <c r="I9" s="13"/>
      <c r="J9" s="13"/>
      <c r="K9" s="71" t="s">
        <v>332</v>
      </c>
      <c r="L9" s="13"/>
      <c r="M9" s="13"/>
      <c r="N9" s="13"/>
    </row>
    <row r="10" spans="1:14" ht="21.5" thickBot="1">
      <c r="A10" s="32"/>
      <c r="B10" s="30"/>
      <c r="C10" s="30"/>
      <c r="D10" s="38" t="s">
        <v>488</v>
      </c>
      <c r="E10" s="30"/>
      <c r="F10" s="13"/>
      <c r="G10" s="13"/>
      <c r="H10" s="30"/>
      <c r="I10" s="30"/>
      <c r="J10" s="30"/>
      <c r="K10" s="38" t="s">
        <v>488</v>
      </c>
      <c r="L10" s="30"/>
      <c r="M10" s="30"/>
      <c r="N10" s="13"/>
    </row>
    <row r="11" spans="1:14" ht="17.5" thickBot="1">
      <c r="A11" s="35" t="s">
        <v>0</v>
      </c>
      <c r="B11" s="35" t="s">
        <v>0</v>
      </c>
      <c r="C11" s="35" t="s">
        <v>0</v>
      </c>
      <c r="D11" s="35" t="s">
        <v>0</v>
      </c>
      <c r="E11" s="35" t="s">
        <v>0</v>
      </c>
      <c r="F11" s="35" t="s">
        <v>0</v>
      </c>
      <c r="G11" s="42"/>
      <c r="H11" s="273"/>
      <c r="I11" s="35" t="s">
        <v>0</v>
      </c>
      <c r="J11" s="30"/>
      <c r="K11" s="30"/>
      <c r="L11" s="30"/>
      <c r="M11" s="30"/>
      <c r="N11" s="13"/>
    </row>
    <row r="12" spans="1:14" ht="17">
      <c r="A12" s="36" t="s">
        <v>0</v>
      </c>
      <c r="B12" s="36" t="s">
        <v>3</v>
      </c>
      <c r="C12" s="36" t="s">
        <v>380</v>
      </c>
      <c r="D12" s="36" t="s">
        <v>129</v>
      </c>
      <c r="E12" s="36" t="s">
        <v>129</v>
      </c>
      <c r="F12" s="36" t="s">
        <v>27</v>
      </c>
      <c r="G12" s="36"/>
      <c r="H12" s="36" t="s">
        <v>3</v>
      </c>
      <c r="I12" s="36" t="s">
        <v>380</v>
      </c>
      <c r="J12" s="36" t="s">
        <v>129</v>
      </c>
      <c r="K12" s="36"/>
      <c r="L12" s="36" t="s">
        <v>129</v>
      </c>
      <c r="M12" s="36" t="s">
        <v>27</v>
      </c>
      <c r="N12" s="13"/>
    </row>
    <row r="13" spans="1:14" ht="17.5" thickBot="1">
      <c r="A13" s="38" t="s">
        <v>2</v>
      </c>
      <c r="B13" s="38" t="s">
        <v>4</v>
      </c>
      <c r="C13" s="38" t="s">
        <v>28</v>
      </c>
      <c r="D13" s="38" t="s">
        <v>188</v>
      </c>
      <c r="E13" s="38" t="s">
        <v>29</v>
      </c>
      <c r="F13" s="38" t="s">
        <v>30</v>
      </c>
      <c r="G13" s="36"/>
      <c r="H13" s="38" t="s">
        <v>4</v>
      </c>
      <c r="I13" s="38" t="s">
        <v>28</v>
      </c>
      <c r="J13" s="38" t="s">
        <v>188</v>
      </c>
      <c r="K13" s="38"/>
      <c r="L13" s="38" t="s">
        <v>29</v>
      </c>
      <c r="M13" s="38" t="s">
        <v>30</v>
      </c>
      <c r="N13" s="13"/>
    </row>
    <row r="14" spans="1:14" ht="17">
      <c r="A14" s="40" t="s">
        <v>0</v>
      </c>
      <c r="B14" s="40" t="s">
        <v>0</v>
      </c>
      <c r="C14" s="41" t="s">
        <v>132</v>
      </c>
      <c r="D14" s="40" t="s">
        <v>133</v>
      </c>
      <c r="E14" s="40" t="s">
        <v>0</v>
      </c>
      <c r="F14" s="40" t="s">
        <v>0</v>
      </c>
      <c r="G14" s="42"/>
      <c r="H14" s="40" t="s">
        <v>0</v>
      </c>
      <c r="I14" s="41" t="s">
        <v>132</v>
      </c>
      <c r="J14" s="40" t="s">
        <v>134</v>
      </c>
      <c r="K14" s="40"/>
      <c r="L14" s="40" t="s">
        <v>0</v>
      </c>
      <c r="M14" s="40" t="s">
        <v>0</v>
      </c>
      <c r="N14" s="13"/>
    </row>
    <row r="15" spans="1:14" ht="17">
      <c r="A15" s="36"/>
      <c r="B15" s="36"/>
      <c r="C15" s="36"/>
      <c r="D15" s="36"/>
      <c r="E15" s="36"/>
      <c r="F15" s="36"/>
      <c r="G15" s="36"/>
      <c r="H15" s="36"/>
      <c r="I15" s="36"/>
      <c r="J15" s="36"/>
      <c r="K15" s="36"/>
      <c r="L15" s="36"/>
      <c r="M15" s="36"/>
      <c r="N15" s="13"/>
    </row>
    <row r="16" spans="1:14" ht="17">
      <c r="A16" s="13"/>
      <c r="B16" s="13"/>
      <c r="C16" s="13"/>
      <c r="D16" s="13"/>
      <c r="E16" s="13"/>
      <c r="F16" s="13"/>
      <c r="G16" s="13"/>
      <c r="H16" s="13"/>
      <c r="I16" s="13"/>
      <c r="J16" s="13"/>
      <c r="K16" s="13"/>
      <c r="L16" s="13"/>
      <c r="M16" s="13"/>
      <c r="N16" s="13"/>
    </row>
    <row r="17" spans="1:14" ht="17.5">
      <c r="A17" s="45" t="str">
        <f>+'S&amp;D'!A22</f>
        <v>Atmos Energy Corp</v>
      </c>
      <c r="B17" s="45" t="str">
        <f>+'S&amp;D'!B22</f>
        <v>ATO</v>
      </c>
      <c r="C17" s="62">
        <f>+'S&amp;D'!G22</f>
        <v>115.9</v>
      </c>
      <c r="D17" s="64">
        <v>10.75</v>
      </c>
      <c r="E17" s="72">
        <f t="shared" ref="E17:E27" si="0">C17/D17</f>
        <v>10.78139534883721</v>
      </c>
      <c r="F17" s="59">
        <f t="shared" ref="F17:F27" si="1">1/E17</f>
        <v>9.2752372735116481E-2</v>
      </c>
      <c r="G17" s="59"/>
      <c r="H17" s="36" t="str">
        <f>+B17</f>
        <v>ATO</v>
      </c>
      <c r="I17" s="62">
        <f>+C17</f>
        <v>115.9</v>
      </c>
      <c r="J17" s="64">
        <v>11.55</v>
      </c>
      <c r="K17" s="64"/>
      <c r="L17" s="72">
        <f t="shared" ref="L17:L27" si="2">I17/J17</f>
        <v>10.034632034632034</v>
      </c>
      <c r="M17" s="59">
        <f t="shared" ref="M17:M27" si="3">1/L17</f>
        <v>9.9654874892148401E-2</v>
      </c>
      <c r="N17" s="13"/>
    </row>
    <row r="18" spans="1:14" ht="17.5">
      <c r="A18" s="45" t="str">
        <f>+'S&amp;D'!A23</f>
        <v>Black Hills Corporation</v>
      </c>
      <c r="B18" s="45" t="str">
        <f>+'S&amp;D'!B23</f>
        <v>BKH</v>
      </c>
      <c r="C18" s="62">
        <f>+'S&amp;D'!G23</f>
        <v>53.95</v>
      </c>
      <c r="D18" s="64">
        <v>7.95</v>
      </c>
      <c r="E18" s="72">
        <f t="shared" si="0"/>
        <v>6.7861635220125791</v>
      </c>
      <c r="F18" s="59">
        <f t="shared" si="1"/>
        <v>0.14735866543095458</v>
      </c>
      <c r="G18" s="59"/>
      <c r="H18" s="36" t="str">
        <f t="shared" ref="H18:H27" si="4">+B18</f>
        <v>BKH</v>
      </c>
      <c r="I18" s="62">
        <f>+C18</f>
        <v>53.95</v>
      </c>
      <c r="J18" s="64">
        <v>4.0999999999999996</v>
      </c>
      <c r="K18" s="64"/>
      <c r="L18" s="72">
        <f t="shared" si="2"/>
        <v>13.158536585365855</v>
      </c>
      <c r="M18" s="59">
        <f t="shared" si="3"/>
        <v>7.5996292863762735E-2</v>
      </c>
      <c r="N18" s="13"/>
    </row>
    <row r="19" spans="1:14" ht="17.5">
      <c r="A19" s="45" t="str">
        <f>+'S&amp;D'!A24</f>
        <v>CenterPoint Energy Inc.</v>
      </c>
      <c r="B19" s="45" t="str">
        <f>+'S&amp;D'!B24</f>
        <v>CNP</v>
      </c>
      <c r="C19" s="62">
        <f>+'S&amp;D'!G24</f>
        <v>28.57</v>
      </c>
      <c r="D19" s="64">
        <v>3.85</v>
      </c>
      <c r="E19" s="72">
        <f t="shared" si="0"/>
        <v>7.4207792207792203</v>
      </c>
      <c r="F19" s="59">
        <f t="shared" si="1"/>
        <v>0.13475673783689185</v>
      </c>
      <c r="G19" s="59"/>
      <c r="H19" s="36" t="str">
        <f t="shared" si="4"/>
        <v>CNP</v>
      </c>
      <c r="I19" s="62">
        <f>+C19</f>
        <v>28.57</v>
      </c>
      <c r="J19" s="64">
        <v>4.05</v>
      </c>
      <c r="K19" s="64"/>
      <c r="L19" s="72">
        <f t="shared" si="2"/>
        <v>7.0543209876543216</v>
      </c>
      <c r="M19" s="59">
        <f t="shared" si="3"/>
        <v>0.1417570878543927</v>
      </c>
      <c r="N19" s="13"/>
    </row>
    <row r="20" spans="1:14" ht="17.5">
      <c r="A20" s="45" t="str">
        <f>+'S&amp;D'!A25</f>
        <v>CMS Energy Corporation</v>
      </c>
      <c r="B20" s="45" t="str">
        <f>+'S&amp;D'!B25</f>
        <v>CMS</v>
      </c>
      <c r="C20" s="62">
        <f>+'S&amp;D'!G25</f>
        <v>58.07</v>
      </c>
      <c r="D20" s="64">
        <v>7.3</v>
      </c>
      <c r="E20" s="72">
        <f t="shared" si="0"/>
        <v>7.9547945205479458</v>
      </c>
      <c r="F20" s="59">
        <f t="shared" si="1"/>
        <v>0.1257103495780954</v>
      </c>
      <c r="G20" s="59"/>
      <c r="H20" s="36" t="str">
        <f t="shared" si="4"/>
        <v>CMS</v>
      </c>
      <c r="I20" s="62">
        <f>+C20</f>
        <v>58.07</v>
      </c>
      <c r="J20" s="64">
        <v>7.65</v>
      </c>
      <c r="K20" s="64"/>
      <c r="L20" s="72">
        <f t="shared" si="2"/>
        <v>7.5908496732026141</v>
      </c>
      <c r="M20" s="59">
        <f t="shared" si="3"/>
        <v>0.13173755811951093</v>
      </c>
      <c r="N20" s="13"/>
    </row>
    <row r="21" spans="1:14" ht="17.5">
      <c r="A21" s="45" t="str">
        <f>+'S&amp;D'!A26</f>
        <v>New Jersey Resources Corp</v>
      </c>
      <c r="B21" s="45" t="str">
        <f>+'S&amp;D'!B26</f>
        <v>NJR</v>
      </c>
      <c r="C21" s="62">
        <f>+'S&amp;D'!G26</f>
        <v>44.58</v>
      </c>
      <c r="D21" s="64">
        <v>4.4000000000000004</v>
      </c>
      <c r="E21" s="72">
        <f t="shared" si="0"/>
        <v>10.131818181818181</v>
      </c>
      <c r="F21" s="59">
        <f t="shared" si="1"/>
        <v>9.8698968147151192E-2</v>
      </c>
      <c r="G21" s="59"/>
      <c r="H21" s="36" t="str">
        <f t="shared" si="4"/>
        <v>NJR</v>
      </c>
      <c r="I21" s="62">
        <f t="shared" ref="I21:I27" si="5">+C21</f>
        <v>44.58</v>
      </c>
      <c r="J21" s="64">
        <v>4.5</v>
      </c>
      <c r="K21" s="64"/>
      <c r="L21" s="72">
        <f t="shared" si="2"/>
        <v>9.9066666666666663</v>
      </c>
      <c r="M21" s="59">
        <f t="shared" si="3"/>
        <v>0.1009421265141319</v>
      </c>
      <c r="N21" s="13"/>
    </row>
    <row r="22" spans="1:14" ht="17.5">
      <c r="A22" s="45" t="str">
        <f>+'S&amp;D'!A27</f>
        <v>NISOURCE Inc.</v>
      </c>
      <c r="B22" s="45" t="str">
        <f>+'S&amp;D'!B27</f>
        <v>NI</v>
      </c>
      <c r="C22" s="62">
        <f>+'S&amp;D'!G27</f>
        <v>26.55</v>
      </c>
      <c r="D22" s="64">
        <v>3.8</v>
      </c>
      <c r="E22" s="72">
        <f t="shared" si="0"/>
        <v>6.9868421052631584</v>
      </c>
      <c r="F22" s="59">
        <f t="shared" si="1"/>
        <v>0.1431261770244821</v>
      </c>
      <c r="G22" s="59"/>
      <c r="H22" s="36" t="str">
        <f t="shared" si="4"/>
        <v>NI</v>
      </c>
      <c r="I22" s="62">
        <f t="shared" si="5"/>
        <v>26.55</v>
      </c>
      <c r="J22" s="64">
        <v>4.8</v>
      </c>
      <c r="K22" s="64"/>
      <c r="L22" s="72">
        <f t="shared" si="2"/>
        <v>5.53125</v>
      </c>
      <c r="M22" s="59">
        <f t="shared" si="3"/>
        <v>0.1807909604519774</v>
      </c>
      <c r="N22" s="13"/>
    </row>
    <row r="23" spans="1:14" ht="17.5">
      <c r="A23" s="45" t="str">
        <f>+'S&amp;D'!A28</f>
        <v xml:space="preserve">Northwest Natural Holding Company </v>
      </c>
      <c r="B23" s="45" t="str">
        <f>+'S&amp;D'!B28</f>
        <v>NWN</v>
      </c>
      <c r="C23" s="62">
        <f>+'S&amp;D'!G28</f>
        <v>38.94</v>
      </c>
      <c r="D23" s="64">
        <v>6.15</v>
      </c>
      <c r="E23" s="72">
        <f t="shared" si="0"/>
        <v>6.3317073170731701</v>
      </c>
      <c r="F23" s="59">
        <f t="shared" si="1"/>
        <v>0.15793528505392915</v>
      </c>
      <c r="G23" s="59"/>
      <c r="H23" s="36" t="str">
        <f t="shared" si="4"/>
        <v>NWN</v>
      </c>
      <c r="I23" s="62">
        <f t="shared" si="5"/>
        <v>38.94</v>
      </c>
      <c r="J23" s="64">
        <v>6.85</v>
      </c>
      <c r="K23" s="64"/>
      <c r="L23" s="72">
        <f t="shared" si="2"/>
        <v>5.684671532846715</v>
      </c>
      <c r="M23" s="59">
        <f t="shared" si="3"/>
        <v>0.17591165896250643</v>
      </c>
      <c r="N23" s="13"/>
    </row>
    <row r="24" spans="1:14" ht="17.5">
      <c r="A24" s="45" t="str">
        <f>+'S&amp;D'!A29</f>
        <v>One Gas INC</v>
      </c>
      <c r="B24" s="45" t="str">
        <f>+'S&amp;D'!B29</f>
        <v>OGS</v>
      </c>
      <c r="C24" s="62">
        <f>+'S&amp;D'!G29</f>
        <v>63.72</v>
      </c>
      <c r="D24" s="64">
        <v>9.85</v>
      </c>
      <c r="E24" s="72">
        <f t="shared" si="0"/>
        <v>6.4690355329949236</v>
      </c>
      <c r="F24" s="59">
        <f t="shared" si="1"/>
        <v>0.15458254865034526</v>
      </c>
      <c r="G24" s="59"/>
      <c r="H24" s="36" t="str">
        <f t="shared" si="4"/>
        <v>OGS</v>
      </c>
      <c r="I24" s="62">
        <f t="shared" si="5"/>
        <v>63.72</v>
      </c>
      <c r="J24" s="64">
        <v>10.9</v>
      </c>
      <c r="K24" s="64"/>
      <c r="L24" s="72">
        <f t="shared" si="2"/>
        <v>5.8458715596330268</v>
      </c>
      <c r="M24" s="59">
        <f t="shared" si="3"/>
        <v>0.17106089139987446</v>
      </c>
      <c r="N24" s="13"/>
    </row>
    <row r="25" spans="1:14" ht="17.5">
      <c r="A25" s="45" t="str">
        <f>+'S&amp;D'!A30</f>
        <v>Southwest Gas Holdings, Inc</v>
      </c>
      <c r="B25" s="45" t="str">
        <f>+'S&amp;D'!B30</f>
        <v>SWX</v>
      </c>
      <c r="C25" s="62">
        <f>+'S&amp;D'!G30</f>
        <v>63.35</v>
      </c>
      <c r="D25" s="64">
        <v>9.4</v>
      </c>
      <c r="E25" s="72">
        <f t="shared" si="0"/>
        <v>6.7393617021276597</v>
      </c>
      <c r="F25" s="59">
        <f t="shared" si="1"/>
        <v>0.1483820047355959</v>
      </c>
      <c r="G25" s="59"/>
      <c r="H25" s="36" t="str">
        <f t="shared" si="4"/>
        <v>SWX</v>
      </c>
      <c r="I25" s="62">
        <f t="shared" si="5"/>
        <v>63.35</v>
      </c>
      <c r="J25" s="64">
        <v>10.25</v>
      </c>
      <c r="K25" s="64"/>
      <c r="L25" s="72">
        <f t="shared" si="2"/>
        <v>6.1804878048780489</v>
      </c>
      <c r="M25" s="59">
        <f t="shared" si="3"/>
        <v>0.1617995264404104</v>
      </c>
      <c r="N25" s="13"/>
    </row>
    <row r="26" spans="1:14" ht="17.5">
      <c r="A26" s="45" t="str">
        <f>+'S&amp;D'!A31</f>
        <v>Spire Inc / Laclede Group Inc</v>
      </c>
      <c r="B26" s="45" t="str">
        <f>+'S&amp;D'!B31</f>
        <v>SR</v>
      </c>
      <c r="C26" s="62">
        <f>+'S&amp;D'!G31</f>
        <v>62.34</v>
      </c>
      <c r="D26" s="64">
        <v>9.0500000000000007</v>
      </c>
      <c r="E26" s="72">
        <f t="shared" si="0"/>
        <v>6.8883977900552482</v>
      </c>
      <c r="F26" s="59">
        <f t="shared" si="1"/>
        <v>0.14517163939685596</v>
      </c>
      <c r="G26" s="59"/>
      <c r="H26" s="36" t="str">
        <f t="shared" si="4"/>
        <v>SR</v>
      </c>
      <c r="I26" s="62">
        <f t="shared" si="5"/>
        <v>62.34</v>
      </c>
      <c r="J26" s="64">
        <v>9.65</v>
      </c>
      <c r="K26" s="64"/>
      <c r="L26" s="72">
        <f t="shared" si="2"/>
        <v>6.4601036269430052</v>
      </c>
      <c r="M26" s="59">
        <f t="shared" si="3"/>
        <v>0.1547962784728906</v>
      </c>
      <c r="N26" s="13"/>
    </row>
    <row r="27" spans="1:14" ht="17.5">
      <c r="A27" s="45" t="str">
        <f>+'S&amp;D'!A32</f>
        <v>WEC Energy Group</v>
      </c>
      <c r="B27" s="45" t="str">
        <f>+'S&amp;D'!B32</f>
        <v>WEC</v>
      </c>
      <c r="C27" s="62">
        <f>+'S&amp;D'!G32</f>
        <v>84.17</v>
      </c>
      <c r="D27" s="64">
        <v>9.35</v>
      </c>
      <c r="E27" s="72">
        <f t="shared" si="0"/>
        <v>9.0021390374331549</v>
      </c>
      <c r="F27" s="59">
        <f t="shared" si="1"/>
        <v>0.1110847095164548</v>
      </c>
      <c r="G27" s="59"/>
      <c r="H27" s="36" t="str">
        <f t="shared" si="4"/>
        <v>WEC</v>
      </c>
      <c r="I27" s="62">
        <f t="shared" si="5"/>
        <v>84.17</v>
      </c>
      <c r="J27" s="64">
        <v>10.15</v>
      </c>
      <c r="K27" s="64"/>
      <c r="L27" s="72">
        <f t="shared" si="2"/>
        <v>8.2926108374384242</v>
      </c>
      <c r="M27" s="59">
        <f t="shared" si="3"/>
        <v>0.120589283592729</v>
      </c>
      <c r="N27" s="13"/>
    </row>
    <row r="28" spans="1:14" ht="17.5" thickBot="1">
      <c r="A28" s="13"/>
      <c r="B28" s="73"/>
      <c r="C28" s="73"/>
      <c r="D28" s="73"/>
      <c r="E28" s="73"/>
      <c r="F28" s="73"/>
      <c r="G28" s="13"/>
      <c r="H28" s="73"/>
      <c r="I28" s="73"/>
      <c r="J28" s="73"/>
      <c r="K28" s="73"/>
      <c r="L28" s="73"/>
      <c r="M28" s="73"/>
      <c r="N28" s="13"/>
    </row>
    <row r="29" spans="1:14" ht="17.5" thickTop="1">
      <c r="A29" s="13"/>
      <c r="C29" s="15" t="s">
        <v>56</v>
      </c>
      <c r="D29" s="312">
        <f>MAX(D17:D27)</f>
        <v>10.75</v>
      </c>
      <c r="E29" s="312">
        <f t="shared" ref="E29:F29" si="6">MAX(E17:E27)</f>
        <v>10.78139534883721</v>
      </c>
      <c r="F29" s="301">
        <f t="shared" si="6"/>
        <v>0.15793528505392915</v>
      </c>
      <c r="I29" s="15" t="s">
        <v>56</v>
      </c>
      <c r="J29" s="312">
        <f t="shared" ref="J29:M29" si="7">MAX(J17:J27)</f>
        <v>11.55</v>
      </c>
      <c r="K29" s="312"/>
      <c r="L29" s="312">
        <f t="shared" si="7"/>
        <v>13.158536585365855</v>
      </c>
      <c r="M29" s="301">
        <f t="shared" si="7"/>
        <v>0.1807909604519774</v>
      </c>
      <c r="N29" s="13"/>
    </row>
    <row r="30" spans="1:14" ht="17">
      <c r="A30" s="13"/>
      <c r="C30" s="15" t="s">
        <v>57</v>
      </c>
      <c r="D30" s="316">
        <f>MIN(D17:D27)</f>
        <v>3.8</v>
      </c>
      <c r="E30" s="316">
        <f t="shared" ref="E30:F30" si="8">MIN(E17:E27)</f>
        <v>6.3317073170731701</v>
      </c>
      <c r="F30" s="302">
        <f t="shared" si="8"/>
        <v>9.2752372735116481E-2</v>
      </c>
      <c r="I30" s="15" t="s">
        <v>57</v>
      </c>
      <c r="J30" s="316">
        <f t="shared" ref="J30:M30" si="9">MIN(J17:J27)</f>
        <v>4.05</v>
      </c>
      <c r="K30" s="316"/>
      <c r="L30" s="316">
        <f t="shared" si="9"/>
        <v>5.53125</v>
      </c>
      <c r="M30" s="302">
        <f t="shared" si="9"/>
        <v>7.5996292863762735E-2</v>
      </c>
      <c r="N30" s="13"/>
    </row>
    <row r="31" spans="1:14" ht="17">
      <c r="A31" s="13"/>
      <c r="C31" s="15" t="s">
        <v>18</v>
      </c>
      <c r="D31" s="74">
        <f>MEDIAN(D17:D27)</f>
        <v>7.95</v>
      </c>
      <c r="E31" s="22">
        <f>MEDIAN(E17:E27)</f>
        <v>6.9868421052631584</v>
      </c>
      <c r="F31" s="59">
        <f>MEDIAN(F17:F27)</f>
        <v>0.1431261770244821</v>
      </c>
      <c r="I31" s="15" t="s">
        <v>18</v>
      </c>
      <c r="J31" s="74">
        <f>MEDIAN(J17:J27)</f>
        <v>7.65</v>
      </c>
      <c r="K31" s="74"/>
      <c r="L31" s="22">
        <f>MEDIAN(L17:L27)</f>
        <v>7.0543209876543216</v>
      </c>
      <c r="M31" s="59">
        <f>MEDIAN(M17:M27)</f>
        <v>0.1417570878543927</v>
      </c>
      <c r="N31" s="13"/>
    </row>
    <row r="32" spans="1:14" ht="17">
      <c r="A32" s="13"/>
      <c r="C32" s="15" t="s">
        <v>448</v>
      </c>
      <c r="D32" s="18">
        <f>AVERAGE(D17:D27)</f>
        <v>7.4409090909090905</v>
      </c>
      <c r="E32" s="22">
        <f>AVERAGE(E17:E27)</f>
        <v>7.7720394799038592</v>
      </c>
      <c r="F32" s="75">
        <f>AVERAGE(F17:F27)</f>
        <v>0.13268722346417025</v>
      </c>
      <c r="I32" s="15" t="s">
        <v>448</v>
      </c>
      <c r="J32" s="18">
        <f>AVERAGE(J17:J27)</f>
        <v>7.6772727272727286</v>
      </c>
      <c r="K32" s="18"/>
      <c r="L32" s="22">
        <f>AVERAGE(L17:L27)</f>
        <v>7.794545573569156</v>
      </c>
      <c r="M32" s="75">
        <f>AVERAGE(M17:M27)</f>
        <v>0.13773059450584862</v>
      </c>
      <c r="N32" s="13"/>
    </row>
    <row r="33" spans="1:14" ht="17">
      <c r="A33" s="13"/>
      <c r="B33" s="13"/>
      <c r="C33" s="13"/>
      <c r="D33" s="13"/>
      <c r="E33" s="13"/>
      <c r="F33" s="13"/>
      <c r="H33" s="13"/>
      <c r="I33" s="13"/>
      <c r="J33" s="13"/>
      <c r="K33" s="13"/>
      <c r="L33" s="13"/>
      <c r="M33" s="13"/>
      <c r="N33" s="13"/>
    </row>
    <row r="34" spans="1:14" ht="25.5">
      <c r="A34" s="13"/>
      <c r="B34" s="13"/>
      <c r="C34" s="13"/>
      <c r="D34" s="79" t="s">
        <v>92</v>
      </c>
      <c r="E34" s="378">
        <v>7.77</v>
      </c>
      <c r="F34" s="331">
        <v>0.13270000000000001</v>
      </c>
      <c r="H34" s="13"/>
      <c r="I34" s="13"/>
      <c r="J34" s="79" t="s">
        <v>92</v>
      </c>
      <c r="K34" s="51"/>
      <c r="L34" s="379">
        <v>7.79</v>
      </c>
      <c r="M34" s="331">
        <v>0.13769999999999999</v>
      </c>
      <c r="N34" s="13"/>
    </row>
    <row r="35" spans="1:14" ht="17.5" thickBot="1">
      <c r="A35" s="13"/>
      <c r="B35" s="13"/>
      <c r="C35" s="13"/>
      <c r="D35" s="13"/>
      <c r="E35" s="13"/>
      <c r="F35" s="76" t="s">
        <v>0</v>
      </c>
      <c r="G35" s="76"/>
      <c r="H35" s="13"/>
      <c r="I35" s="13"/>
      <c r="J35" s="13"/>
      <c r="K35" s="13"/>
      <c r="L35" s="13"/>
      <c r="M35" s="13"/>
      <c r="N35" s="13"/>
    </row>
    <row r="36" spans="1:14" ht="26" thickBot="1">
      <c r="A36" s="77" t="s">
        <v>0</v>
      </c>
      <c r="B36" s="13"/>
      <c r="C36" s="13"/>
      <c r="D36" s="13"/>
      <c r="E36" s="25" t="s">
        <v>143</v>
      </c>
      <c r="F36" s="25"/>
      <c r="G36" s="380">
        <f>(+E34+L34)/2</f>
        <v>7.7799999999999994</v>
      </c>
      <c r="H36" s="369">
        <f>(+F34+M34)/2</f>
        <v>0.13519999999999999</v>
      </c>
      <c r="N36" s="13"/>
    </row>
    <row r="37" spans="1:14" ht="25.5">
      <c r="A37" s="77"/>
      <c r="B37" s="13"/>
      <c r="C37" s="13"/>
      <c r="D37" s="13"/>
      <c r="E37" s="25"/>
      <c r="F37" s="25"/>
      <c r="G37" s="333"/>
      <c r="H37" s="334"/>
      <c r="N37" s="13"/>
    </row>
    <row r="38" spans="1:14" ht="17">
      <c r="A38" s="77" t="s">
        <v>71</v>
      </c>
      <c r="B38" s="13"/>
      <c r="C38" s="13"/>
      <c r="D38" s="13"/>
      <c r="E38" s="13"/>
      <c r="F38" s="13"/>
      <c r="G38" s="13"/>
      <c r="H38" s="13"/>
      <c r="I38" s="13"/>
      <c r="J38" s="13"/>
      <c r="K38" s="13"/>
      <c r="L38" s="13"/>
      <c r="M38" s="13"/>
      <c r="N38" s="13"/>
    </row>
    <row r="39" spans="1:14" ht="17">
      <c r="A39" s="13"/>
      <c r="B39" s="13"/>
      <c r="C39" s="13"/>
      <c r="D39" s="13"/>
      <c r="E39" s="13"/>
      <c r="F39" s="13"/>
      <c r="G39" s="13"/>
      <c r="H39" s="13"/>
      <c r="I39" s="13"/>
      <c r="J39" s="13"/>
      <c r="K39" s="13"/>
      <c r="L39" s="13"/>
      <c r="M39" s="13"/>
      <c r="N39" s="13"/>
    </row>
    <row r="40" spans="1:14" ht="17">
      <c r="A40" s="13"/>
      <c r="B40" s="13"/>
      <c r="C40" s="13"/>
      <c r="D40" s="13"/>
      <c r="E40" s="13"/>
      <c r="F40" s="13"/>
      <c r="G40" s="13"/>
      <c r="H40" s="13"/>
      <c r="I40" s="13"/>
      <c r="J40" s="13"/>
      <c r="K40" s="13"/>
      <c r="L40" s="13"/>
      <c r="M40" s="13"/>
      <c r="N40" s="13"/>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67"/>
  <sheetViews>
    <sheetView view="pageBreakPreview" topLeftCell="A41" zoomScale="60" zoomScaleNormal="80" workbookViewId="0">
      <selection activeCell="G68" sqref="G68"/>
    </sheetView>
  </sheetViews>
  <sheetFormatPr defaultRowHeight="14.5"/>
  <cols>
    <col min="1" max="1" width="44.1796875" customWidth="1"/>
    <col min="2" max="2" width="14.453125" customWidth="1"/>
    <col min="3" max="3" width="12.26953125" bestFit="1" customWidth="1"/>
    <col min="4" max="4" width="23.7265625" customWidth="1"/>
    <col min="5" max="5" width="21.26953125" customWidth="1"/>
    <col min="6" max="6" width="19" customWidth="1"/>
    <col min="7" max="7" width="16.453125" customWidth="1"/>
    <col min="8" max="10" width="19.26953125" customWidth="1"/>
    <col min="11" max="12" width="21.54296875" customWidth="1"/>
    <col min="13" max="13" width="18.26953125" customWidth="1"/>
  </cols>
  <sheetData>
    <row r="1" spans="1:15" ht="25.5">
      <c r="A1" s="25" t="s">
        <v>1</v>
      </c>
      <c r="B1" s="25"/>
      <c r="C1" s="13"/>
      <c r="D1" s="13"/>
      <c r="E1" s="13"/>
      <c r="F1" s="13"/>
      <c r="G1" s="13"/>
      <c r="H1" s="13"/>
      <c r="I1" s="13"/>
      <c r="J1" s="13"/>
      <c r="K1" s="13"/>
      <c r="L1" s="13"/>
      <c r="M1" s="13"/>
      <c r="N1" s="13"/>
      <c r="O1" s="13"/>
    </row>
    <row r="2" spans="1:15" ht="17.5">
      <c r="A2" s="65" t="s">
        <v>9</v>
      </c>
      <c r="B2" s="65"/>
      <c r="C2" s="13"/>
      <c r="D2" s="13"/>
      <c r="E2" s="13"/>
      <c r="F2" s="13"/>
      <c r="G2" s="13"/>
      <c r="H2" s="13"/>
      <c r="I2" s="13"/>
      <c r="J2" s="13"/>
      <c r="K2" s="13"/>
      <c r="L2" s="13"/>
      <c r="M2" s="13"/>
      <c r="N2" s="13"/>
      <c r="O2" s="13"/>
    </row>
    <row r="3" spans="1:15" ht="17">
      <c r="A3" s="27" t="s">
        <v>487</v>
      </c>
      <c r="B3" s="45"/>
      <c r="C3" s="13"/>
      <c r="D3" s="13"/>
      <c r="E3" s="13"/>
      <c r="F3" s="13"/>
      <c r="G3" s="13"/>
      <c r="H3" s="13"/>
      <c r="I3" s="13"/>
      <c r="J3" s="13"/>
      <c r="K3" s="13"/>
      <c r="L3" s="13"/>
      <c r="M3" s="13"/>
      <c r="N3" s="13"/>
      <c r="O3" s="13"/>
    </row>
    <row r="4" spans="1:15" ht="17">
      <c r="A4" s="13"/>
      <c r="B4" s="13"/>
      <c r="C4" s="13"/>
      <c r="D4" s="13"/>
      <c r="E4" s="28" t="s">
        <v>0</v>
      </c>
      <c r="F4" s="13"/>
      <c r="G4" s="13"/>
      <c r="H4" s="13"/>
      <c r="I4" s="13"/>
      <c r="J4" s="13"/>
      <c r="K4" s="13"/>
      <c r="L4" s="13"/>
      <c r="M4" s="13"/>
      <c r="N4" s="13"/>
      <c r="O4" s="13"/>
    </row>
    <row r="5" spans="1:15" ht="18" thickBot="1">
      <c r="A5" s="65"/>
      <c r="B5" s="65"/>
      <c r="C5" s="13"/>
      <c r="D5" s="13"/>
      <c r="E5" s="13"/>
      <c r="F5" s="13"/>
      <c r="G5" s="13"/>
      <c r="H5" s="13"/>
      <c r="I5" s="13"/>
      <c r="J5" s="13"/>
      <c r="K5" s="13"/>
      <c r="L5" s="13"/>
      <c r="M5" s="13"/>
      <c r="N5" s="13"/>
      <c r="O5" s="13"/>
    </row>
    <row r="6" spans="1:15" ht="21.5" thickBot="1">
      <c r="A6" s="272" t="str">
        <f>+'S&amp;D'!A12</f>
        <v>Natural Gas Utility Distribution</v>
      </c>
      <c r="B6" s="275"/>
      <c r="C6" s="13"/>
      <c r="D6" s="13"/>
      <c r="E6" s="13"/>
      <c r="F6" s="13"/>
      <c r="G6" s="13"/>
      <c r="H6" s="13"/>
      <c r="I6" s="13"/>
      <c r="J6" s="13"/>
      <c r="K6" s="13"/>
      <c r="L6" s="13"/>
      <c r="M6" s="13"/>
      <c r="N6" s="13"/>
      <c r="O6" s="13"/>
    </row>
    <row r="7" spans="1:15" ht="18" thickBot="1">
      <c r="A7" s="65"/>
      <c r="B7" s="65"/>
      <c r="C7" s="30"/>
      <c r="D7" s="30"/>
      <c r="E7" s="30"/>
      <c r="F7" s="30"/>
      <c r="G7" s="30"/>
      <c r="H7" s="13"/>
      <c r="I7" s="30"/>
      <c r="J7" s="30"/>
      <c r="K7" s="30"/>
      <c r="L7" s="30"/>
      <c r="M7" s="30"/>
      <c r="N7" s="13"/>
      <c r="O7" s="13"/>
    </row>
    <row r="8" spans="1:15" ht="25.5">
      <c r="B8" s="32"/>
      <c r="C8" s="13"/>
      <c r="D8" s="13"/>
      <c r="E8" s="33" t="s">
        <v>256</v>
      </c>
      <c r="F8" s="13"/>
      <c r="G8" s="13"/>
      <c r="H8" s="13"/>
      <c r="I8" s="13"/>
      <c r="J8" s="13"/>
      <c r="K8" s="33" t="s">
        <v>257</v>
      </c>
      <c r="L8" s="13"/>
      <c r="M8" s="13"/>
      <c r="N8" s="13"/>
      <c r="O8" s="13"/>
    </row>
    <row r="9" spans="1:15" ht="21.5" thickBot="1">
      <c r="A9" s="32"/>
      <c r="B9" s="32"/>
      <c r="C9" s="30"/>
      <c r="D9" s="30"/>
      <c r="E9" s="38" t="s">
        <v>488</v>
      </c>
      <c r="F9" s="30"/>
      <c r="G9" s="30"/>
      <c r="H9" s="13"/>
      <c r="I9" s="30"/>
      <c r="J9" s="30"/>
      <c r="K9" s="38" t="s">
        <v>488</v>
      </c>
      <c r="L9" s="30"/>
      <c r="M9" s="30"/>
      <c r="N9" s="13"/>
      <c r="O9" s="13"/>
    </row>
    <row r="10" spans="1:15" ht="17.5" thickBot="1">
      <c r="A10" s="35" t="s">
        <v>0</v>
      </c>
      <c r="B10" s="35"/>
      <c r="C10" s="35" t="s">
        <v>0</v>
      </c>
      <c r="D10" s="35" t="s">
        <v>0</v>
      </c>
      <c r="E10" s="35" t="s">
        <v>0</v>
      </c>
      <c r="F10" s="35" t="s">
        <v>0</v>
      </c>
      <c r="G10" s="35" t="s">
        <v>0</v>
      </c>
      <c r="H10" s="13"/>
      <c r="I10" s="30"/>
      <c r="J10" s="30"/>
      <c r="K10" s="30"/>
      <c r="L10" s="30"/>
      <c r="M10" s="30"/>
      <c r="N10" s="13"/>
      <c r="O10" s="13"/>
    </row>
    <row r="11" spans="1:15" ht="17">
      <c r="A11" s="36" t="s">
        <v>0</v>
      </c>
      <c r="B11" s="36"/>
      <c r="C11" s="36" t="s">
        <v>3</v>
      </c>
      <c r="D11" s="36" t="s">
        <v>0</v>
      </c>
      <c r="E11" s="36" t="s">
        <v>130</v>
      </c>
      <c r="F11" s="36" t="s">
        <v>130</v>
      </c>
      <c r="G11" s="36" t="s">
        <v>27</v>
      </c>
      <c r="H11" s="13"/>
      <c r="I11" s="36" t="s">
        <v>3</v>
      </c>
      <c r="J11" s="36" t="s">
        <v>0</v>
      </c>
      <c r="K11" s="36" t="s">
        <v>130</v>
      </c>
      <c r="L11" s="36" t="s">
        <v>130</v>
      </c>
      <c r="M11" s="36" t="s">
        <v>27</v>
      </c>
      <c r="N11" s="13"/>
      <c r="O11" s="13"/>
    </row>
    <row r="12" spans="1:15" ht="17.5" thickBot="1">
      <c r="A12" s="38" t="s">
        <v>2</v>
      </c>
      <c r="B12" s="38"/>
      <c r="C12" s="38" t="s">
        <v>4</v>
      </c>
      <c r="D12" s="38" t="s">
        <v>28</v>
      </c>
      <c r="E12" s="38" t="s">
        <v>193</v>
      </c>
      <c r="F12" s="38" t="s">
        <v>29</v>
      </c>
      <c r="G12" s="38" t="s">
        <v>30</v>
      </c>
      <c r="H12" s="13"/>
      <c r="I12" s="38" t="s">
        <v>4</v>
      </c>
      <c r="J12" s="38" t="s">
        <v>28</v>
      </c>
      <c r="K12" s="38" t="s">
        <v>193</v>
      </c>
      <c r="L12" s="38" t="s">
        <v>29</v>
      </c>
      <c r="M12" s="38" t="s">
        <v>30</v>
      </c>
      <c r="N12" s="13"/>
      <c r="O12" s="13"/>
    </row>
    <row r="13" spans="1:15" ht="17">
      <c r="A13" s="40" t="s">
        <v>0</v>
      </c>
      <c r="B13" s="40"/>
      <c r="C13" s="40" t="s">
        <v>0</v>
      </c>
      <c r="D13" s="41" t="s">
        <v>132</v>
      </c>
      <c r="E13" s="78" t="s">
        <v>133</v>
      </c>
      <c r="F13" s="40" t="s">
        <v>0</v>
      </c>
      <c r="G13" s="40" t="s">
        <v>0</v>
      </c>
      <c r="H13" s="13"/>
      <c r="I13" s="40" t="s">
        <v>0</v>
      </c>
      <c r="J13" s="41" t="s">
        <v>132</v>
      </c>
      <c r="K13" s="78" t="s">
        <v>131</v>
      </c>
      <c r="L13" s="40" t="s">
        <v>0</v>
      </c>
      <c r="M13" s="40" t="s">
        <v>0</v>
      </c>
      <c r="N13" s="13"/>
      <c r="O13" s="13"/>
    </row>
    <row r="14" spans="1:15" ht="17">
      <c r="A14" s="36"/>
      <c r="B14" s="36"/>
      <c r="C14" s="36"/>
      <c r="D14" s="36"/>
      <c r="E14" s="36"/>
      <c r="F14" s="36"/>
      <c r="G14" s="36"/>
      <c r="H14" s="13"/>
      <c r="I14" s="36"/>
      <c r="J14" s="36"/>
      <c r="K14" s="36"/>
      <c r="L14" s="36"/>
      <c r="M14" s="36"/>
      <c r="N14" s="13"/>
      <c r="O14" s="13"/>
    </row>
    <row r="15" spans="1:15" ht="17">
      <c r="A15" s="13"/>
      <c r="B15" s="13"/>
      <c r="C15" s="13"/>
      <c r="D15" s="13"/>
      <c r="E15" s="13"/>
      <c r="F15" s="13"/>
      <c r="G15" s="13"/>
      <c r="H15" s="13"/>
      <c r="I15" s="13"/>
      <c r="J15" s="13"/>
      <c r="K15" s="13"/>
      <c r="L15" s="13"/>
      <c r="M15" s="13"/>
      <c r="N15" s="13"/>
      <c r="O15" s="13"/>
    </row>
    <row r="16" spans="1:15" ht="17.5">
      <c r="A16" s="45" t="str">
        <f>+'S&amp;D'!A22</f>
        <v>Atmos Energy Corp</v>
      </c>
      <c r="B16" s="45"/>
      <c r="C16" s="36" t="str">
        <f>+'S&amp;D'!B22</f>
        <v>ATO</v>
      </c>
      <c r="D16" s="62">
        <f>'S&amp;D'!G22</f>
        <v>115.9</v>
      </c>
      <c r="E16" s="64">
        <v>6.55</v>
      </c>
      <c r="F16" s="72">
        <f>D16/E16</f>
        <v>17.694656488549619</v>
      </c>
      <c r="G16" s="59">
        <f t="shared" ref="G16:G25" si="0">1/F16</f>
        <v>5.651423641069888E-2</v>
      </c>
      <c r="H16" s="13"/>
      <c r="I16" s="36" t="s">
        <v>45</v>
      </c>
      <c r="J16" s="62">
        <f>+D16</f>
        <v>115.9</v>
      </c>
      <c r="K16" s="64">
        <v>7</v>
      </c>
      <c r="L16" s="72">
        <f>J16/K16</f>
        <v>16.557142857142857</v>
      </c>
      <c r="M16" s="59">
        <f t="shared" ref="M16:M25" si="1">1/L16</f>
        <v>6.0396893874029335E-2</v>
      </c>
      <c r="N16" s="13"/>
      <c r="O16" s="13"/>
    </row>
    <row r="17" spans="1:15" ht="17.5">
      <c r="A17" s="45" t="str">
        <f>+'S&amp;D'!A23</f>
        <v>Black Hills Corporation</v>
      </c>
      <c r="B17" s="45"/>
      <c r="C17" s="36" t="str">
        <f>+'S&amp;D'!B23</f>
        <v>BKH</v>
      </c>
      <c r="D17" s="62">
        <f>'S&amp;D'!G23</f>
        <v>53.95</v>
      </c>
      <c r="E17" s="64">
        <v>3.9</v>
      </c>
      <c r="F17" s="72">
        <f t="shared" ref="F17:F25" si="2">D17/E17</f>
        <v>13.833333333333334</v>
      </c>
      <c r="G17" s="59">
        <f t="shared" si="0"/>
        <v>7.2289156626506021E-2</v>
      </c>
      <c r="H17" s="13"/>
      <c r="I17" s="36" t="s">
        <v>46</v>
      </c>
      <c r="J17" s="62">
        <f t="shared" ref="J17:J25" si="3">+D17</f>
        <v>53.95</v>
      </c>
      <c r="K17" s="64">
        <v>4.0999999999999996</v>
      </c>
      <c r="L17" s="72">
        <f t="shared" ref="L17:L25" si="4">J17/K17</f>
        <v>13.158536585365855</v>
      </c>
      <c r="M17" s="59">
        <f t="shared" si="1"/>
        <v>7.5996292863762735E-2</v>
      </c>
      <c r="N17" s="13"/>
      <c r="O17" s="13"/>
    </row>
    <row r="18" spans="1:15" ht="17.5">
      <c r="A18" s="45" t="str">
        <f>+'S&amp;D'!A24</f>
        <v>CenterPoint Energy Inc.</v>
      </c>
      <c r="B18" s="45"/>
      <c r="C18" s="36" t="str">
        <f>+'S&amp;D'!B24</f>
        <v>CNP</v>
      </c>
      <c r="D18" s="62">
        <f>'S&amp;D'!G24</f>
        <v>28.57</v>
      </c>
      <c r="E18" s="64">
        <v>1.48</v>
      </c>
      <c r="F18" s="72">
        <f t="shared" si="2"/>
        <v>19.304054054054056</v>
      </c>
      <c r="G18" s="59">
        <f t="shared" si="0"/>
        <v>5.1802590129506471E-2</v>
      </c>
      <c r="H18" s="13"/>
      <c r="I18" s="36" t="s">
        <v>50</v>
      </c>
      <c r="J18" s="62">
        <f t="shared" si="3"/>
        <v>28.57</v>
      </c>
      <c r="K18" s="64">
        <v>1.6</v>
      </c>
      <c r="L18" s="72">
        <f t="shared" si="4"/>
        <v>17.856249999999999</v>
      </c>
      <c r="M18" s="59">
        <f t="shared" si="1"/>
        <v>5.6002800140007004E-2</v>
      </c>
      <c r="N18" s="13"/>
      <c r="O18" s="13"/>
    </row>
    <row r="19" spans="1:15" ht="17.5">
      <c r="A19" s="45" t="str">
        <f>+'S&amp;D'!A25</f>
        <v>CMS Energy Corporation</v>
      </c>
      <c r="B19" s="45"/>
      <c r="C19" s="36" t="str">
        <f>+'S&amp;D'!B25</f>
        <v>CMS</v>
      </c>
      <c r="D19" s="62">
        <f>'S&amp;D'!G25</f>
        <v>58.07</v>
      </c>
      <c r="E19" s="64">
        <v>3.25</v>
      </c>
      <c r="F19" s="72">
        <f>D19/E19</f>
        <v>17.867692307692309</v>
      </c>
      <c r="G19" s="59">
        <f t="shared" si="0"/>
        <v>5.5966936456001377E-2</v>
      </c>
      <c r="H19" s="13"/>
      <c r="I19" s="36" t="s">
        <v>51</v>
      </c>
      <c r="J19" s="62">
        <f t="shared" si="3"/>
        <v>58.07</v>
      </c>
      <c r="K19" s="64">
        <v>3.45</v>
      </c>
      <c r="L19" s="72">
        <f t="shared" si="4"/>
        <v>16.831884057971013</v>
      </c>
      <c r="M19" s="59">
        <f t="shared" si="1"/>
        <v>5.9411055622524543E-2</v>
      </c>
      <c r="N19" s="13"/>
      <c r="O19" s="13"/>
    </row>
    <row r="20" spans="1:15" ht="17.5">
      <c r="A20" s="45" t="str">
        <f>+'S&amp;D'!A26</f>
        <v>New Jersey Resources Corp</v>
      </c>
      <c r="B20" s="45"/>
      <c r="C20" s="36" t="str">
        <f>+'S&amp;D'!B26</f>
        <v>NJR</v>
      </c>
      <c r="D20" s="62">
        <f>'S&amp;D'!G26</f>
        <v>44.58</v>
      </c>
      <c r="E20" s="64">
        <v>2.8</v>
      </c>
      <c r="F20" s="72">
        <f t="shared" si="2"/>
        <v>15.921428571428573</v>
      </c>
      <c r="G20" s="59">
        <f t="shared" si="0"/>
        <v>6.2808434275459846E-2</v>
      </c>
      <c r="H20" s="13"/>
      <c r="I20" s="36" t="s">
        <v>47</v>
      </c>
      <c r="J20" s="62">
        <f t="shared" si="3"/>
        <v>44.58</v>
      </c>
      <c r="K20" s="64">
        <v>2.9</v>
      </c>
      <c r="L20" s="72">
        <f t="shared" si="4"/>
        <v>15.372413793103448</v>
      </c>
      <c r="M20" s="59">
        <f t="shared" si="1"/>
        <v>6.5051592642440564E-2</v>
      </c>
      <c r="N20" s="13"/>
      <c r="O20" s="13"/>
    </row>
    <row r="21" spans="1:15" ht="17.5">
      <c r="A21" s="45" t="str">
        <f>+'S&amp;D'!A27</f>
        <v>NISOURCE Inc.</v>
      </c>
      <c r="B21" s="45"/>
      <c r="C21" s="36" t="str">
        <f>+'S&amp;D'!B27</f>
        <v>NI</v>
      </c>
      <c r="D21" s="62">
        <f>'S&amp;D'!G27</f>
        <v>26.55</v>
      </c>
      <c r="E21" s="64">
        <v>1.7</v>
      </c>
      <c r="F21" s="72">
        <f t="shared" si="2"/>
        <v>15.617647058823531</v>
      </c>
      <c r="G21" s="59">
        <f t="shared" si="0"/>
        <v>6.4030131826741984E-2</v>
      </c>
      <c r="H21" s="13"/>
      <c r="I21" s="36" t="s">
        <v>48</v>
      </c>
      <c r="J21" s="62">
        <f t="shared" si="3"/>
        <v>26.55</v>
      </c>
      <c r="K21" s="64">
        <v>1.85</v>
      </c>
      <c r="L21" s="72">
        <f t="shared" si="4"/>
        <v>14.351351351351351</v>
      </c>
      <c r="M21" s="59">
        <f t="shared" si="1"/>
        <v>6.9679849340866296E-2</v>
      </c>
      <c r="N21" s="13"/>
      <c r="O21" s="13"/>
    </row>
    <row r="22" spans="1:15" ht="17.5">
      <c r="A22" s="45" t="str">
        <f>+'S&amp;D'!A28</f>
        <v xml:space="preserve">Northwest Natural Holding Company </v>
      </c>
      <c r="B22" s="45"/>
      <c r="C22" s="36" t="str">
        <f>+'S&amp;D'!B28</f>
        <v>NWN</v>
      </c>
      <c r="D22" s="62">
        <f>'S&amp;D'!G28</f>
        <v>38.94</v>
      </c>
      <c r="E22" s="64">
        <v>2.75</v>
      </c>
      <c r="F22" s="72">
        <f t="shared" si="2"/>
        <v>14.159999999999998</v>
      </c>
      <c r="G22" s="59">
        <f t="shared" si="0"/>
        <v>7.0621468926553674E-2</v>
      </c>
      <c r="H22" s="13"/>
      <c r="I22" s="36" t="s">
        <v>58</v>
      </c>
      <c r="J22" s="62">
        <f t="shared" si="3"/>
        <v>38.94</v>
      </c>
      <c r="K22" s="64">
        <v>3</v>
      </c>
      <c r="L22" s="72">
        <f t="shared" si="4"/>
        <v>12.979999999999999</v>
      </c>
      <c r="M22" s="59">
        <f t="shared" si="1"/>
        <v>7.7041602465331288E-2</v>
      </c>
      <c r="N22" s="13"/>
      <c r="O22" s="13"/>
    </row>
    <row r="23" spans="1:15" ht="17.5">
      <c r="A23" s="45" t="str">
        <f>+'S&amp;D'!A29</f>
        <v>One Gas INC</v>
      </c>
      <c r="B23" s="45"/>
      <c r="C23" s="36" t="str">
        <f>+'S&amp;D'!B29</f>
        <v>OGS</v>
      </c>
      <c r="D23" s="62">
        <f>'S&amp;D'!G29</f>
        <v>63.72</v>
      </c>
      <c r="E23" s="64">
        <v>4.05</v>
      </c>
      <c r="F23" s="72">
        <f t="shared" si="2"/>
        <v>15.733333333333334</v>
      </c>
      <c r="G23" s="59">
        <f t="shared" si="0"/>
        <v>6.3559322033898302E-2</v>
      </c>
      <c r="H23" s="13"/>
      <c r="I23" s="36" t="s">
        <v>59</v>
      </c>
      <c r="J23" s="62">
        <f>+D23</f>
        <v>63.72</v>
      </c>
      <c r="K23" s="64">
        <v>4.2</v>
      </c>
      <c r="L23" s="72">
        <f>J23/K23</f>
        <v>15.171428571428571</v>
      </c>
      <c r="M23" s="59">
        <f t="shared" si="1"/>
        <v>6.5913370998116769E-2</v>
      </c>
      <c r="N23" s="13"/>
      <c r="O23" s="13"/>
    </row>
    <row r="24" spans="1:15" ht="17.5">
      <c r="A24" s="45" t="str">
        <f>+'S&amp;D'!A30</f>
        <v>Southwest Gas Holdings, Inc</v>
      </c>
      <c r="B24" s="45"/>
      <c r="C24" s="36" t="str">
        <f>+'S&amp;D'!B30</f>
        <v>SWX</v>
      </c>
      <c r="D24" s="62">
        <f>'S&amp;D'!G30</f>
        <v>63.35</v>
      </c>
      <c r="E24" s="64">
        <v>3.3</v>
      </c>
      <c r="F24" s="72">
        <f t="shared" si="2"/>
        <v>19.196969696969699</v>
      </c>
      <c r="G24" s="59">
        <f t="shared" si="0"/>
        <v>5.209155485398579E-2</v>
      </c>
      <c r="H24" s="13"/>
      <c r="I24" s="36" t="str">
        <f>+C24</f>
        <v>SWX</v>
      </c>
      <c r="J24" s="62">
        <f>+D24</f>
        <v>63.35</v>
      </c>
      <c r="K24" s="64">
        <v>4.2</v>
      </c>
      <c r="L24" s="72">
        <f>J24/K24</f>
        <v>15.083333333333332</v>
      </c>
      <c r="M24" s="59">
        <f>1/L24</f>
        <v>6.6298342541436475E-2</v>
      </c>
      <c r="N24" s="13"/>
      <c r="O24" s="13"/>
    </row>
    <row r="25" spans="1:15" ht="17.5">
      <c r="A25" s="45" t="str">
        <f>+'S&amp;D'!A31</f>
        <v>Spire Inc / Laclede Group Inc</v>
      </c>
      <c r="B25" s="45"/>
      <c r="C25" s="36" t="str">
        <f>+'S&amp;D'!B31</f>
        <v>SR</v>
      </c>
      <c r="D25" s="62">
        <f>'S&amp;D'!G31</f>
        <v>62.34</v>
      </c>
      <c r="E25" s="64">
        <v>4.0999999999999996</v>
      </c>
      <c r="F25" s="72">
        <f t="shared" si="2"/>
        <v>15.20487804878049</v>
      </c>
      <c r="G25" s="59">
        <f t="shared" si="0"/>
        <v>6.576836701957009E-2</v>
      </c>
      <c r="H25" s="13"/>
      <c r="I25" s="36" t="s">
        <v>62</v>
      </c>
      <c r="J25" s="62">
        <f t="shared" si="3"/>
        <v>62.34</v>
      </c>
      <c r="K25" s="64">
        <v>4.5</v>
      </c>
      <c r="L25" s="72">
        <f t="shared" si="4"/>
        <v>13.853333333333333</v>
      </c>
      <c r="M25" s="59">
        <f t="shared" si="1"/>
        <v>7.2184793070259864E-2</v>
      </c>
      <c r="N25" s="13"/>
      <c r="O25" s="13"/>
    </row>
    <row r="26" spans="1:15" ht="17.5">
      <c r="A26" s="45" t="str">
        <f>+'S&amp;D'!A32</f>
        <v>WEC Energy Group</v>
      </c>
      <c r="B26" s="45"/>
      <c r="C26" s="36" t="str">
        <f>+'S&amp;D'!B32</f>
        <v>WEC</v>
      </c>
      <c r="D26" s="62">
        <f>'S&amp;D'!G32</f>
        <v>84.17</v>
      </c>
      <c r="E26" s="64">
        <v>4.9000000000000004</v>
      </c>
      <c r="F26" s="72">
        <f>D26/E26</f>
        <v>17.177551020408163</v>
      </c>
      <c r="G26" s="59">
        <f>1/F26</f>
        <v>5.8215516217179519E-2</v>
      </c>
      <c r="I26" s="36" t="s">
        <v>49</v>
      </c>
      <c r="J26" s="62">
        <f>+D26</f>
        <v>84.17</v>
      </c>
      <c r="K26" s="64">
        <v>5.25</v>
      </c>
      <c r="L26" s="72">
        <f>J26/K26</f>
        <v>16.032380952380954</v>
      </c>
      <c r="M26" s="59">
        <f>1/L26</f>
        <v>6.2373767375549477E-2</v>
      </c>
      <c r="N26" s="13"/>
      <c r="O26" s="13"/>
    </row>
    <row r="27" spans="1:15" ht="18" thickBot="1">
      <c r="A27" s="13"/>
      <c r="B27" s="13"/>
      <c r="C27" s="73"/>
      <c r="D27" s="73"/>
      <c r="E27" s="73"/>
      <c r="F27" s="73"/>
      <c r="G27" s="73"/>
      <c r="H27" s="13"/>
      <c r="I27" s="73"/>
      <c r="J27" s="67" t="s">
        <v>0</v>
      </c>
      <c r="K27" s="73"/>
      <c r="L27" s="73"/>
      <c r="M27" s="73"/>
      <c r="N27" s="13"/>
      <c r="O27" s="13"/>
    </row>
    <row r="28" spans="1:15" ht="17.5" thickTop="1">
      <c r="A28" s="13"/>
      <c r="B28" s="13"/>
      <c r="D28" s="15" t="s">
        <v>56</v>
      </c>
      <c r="E28" s="312">
        <f>MAX(E16:E26)</f>
        <v>6.55</v>
      </c>
      <c r="F28" s="312">
        <f t="shared" ref="F28:G28" si="5">MAX(F16:F26)</f>
        <v>19.304054054054056</v>
      </c>
      <c r="G28" s="301">
        <f t="shared" si="5"/>
        <v>7.2289156626506021E-2</v>
      </c>
      <c r="H28" s="13"/>
      <c r="J28" s="15" t="s">
        <v>56</v>
      </c>
      <c r="K28" s="312">
        <f t="shared" ref="K28:M28" si="6">MAX(K16:K26)</f>
        <v>7</v>
      </c>
      <c r="L28" s="312">
        <f t="shared" si="6"/>
        <v>17.856249999999999</v>
      </c>
      <c r="M28" s="301">
        <f t="shared" si="6"/>
        <v>7.7041602465331288E-2</v>
      </c>
      <c r="N28" s="13"/>
      <c r="O28" s="13"/>
    </row>
    <row r="29" spans="1:15" ht="17">
      <c r="A29" s="13"/>
      <c r="B29" s="13"/>
      <c r="D29" s="296" t="s">
        <v>57</v>
      </c>
      <c r="E29" s="316">
        <f>MIN(E16:E26)</f>
        <v>1.48</v>
      </c>
      <c r="F29" s="316">
        <f t="shared" ref="F29:G29" si="7">MIN(F16:F26)</f>
        <v>13.833333333333334</v>
      </c>
      <c r="G29" s="302">
        <f t="shared" si="7"/>
        <v>5.1802590129506471E-2</v>
      </c>
      <c r="H29" s="13"/>
      <c r="J29" s="296" t="s">
        <v>57</v>
      </c>
      <c r="K29" s="316">
        <f t="shared" ref="K29:M29" si="8">MIN(K16:K26)</f>
        <v>1.6</v>
      </c>
      <c r="L29" s="316">
        <f t="shared" si="8"/>
        <v>12.979999999999999</v>
      </c>
      <c r="M29" s="302">
        <f t="shared" si="8"/>
        <v>5.6002800140007004E-2</v>
      </c>
      <c r="N29" s="13"/>
      <c r="O29" s="13"/>
    </row>
    <row r="30" spans="1:15" ht="17">
      <c r="A30" s="13"/>
      <c r="B30" s="13"/>
      <c r="D30" s="15" t="s">
        <v>18</v>
      </c>
      <c r="E30" s="74">
        <f>MEDIAN(E16:E26)</f>
        <v>3.3</v>
      </c>
      <c r="F30" s="22">
        <f>MEDIAN(F16:F26)</f>
        <v>15.921428571428573</v>
      </c>
      <c r="G30" s="59">
        <f>MEDIAN(G16:G26)</f>
        <v>6.2808434275459846E-2</v>
      </c>
      <c r="H30" s="13"/>
      <c r="J30" s="15" t="s">
        <v>18</v>
      </c>
      <c r="K30" s="74">
        <f>MEDIAN(K16:K26)</f>
        <v>4.0999999999999996</v>
      </c>
      <c r="L30" s="22">
        <f>MEDIAN(L16:L26)</f>
        <v>15.171428571428571</v>
      </c>
      <c r="M30" s="59">
        <f>MEDIAN(M16:M26)</f>
        <v>6.5913370998116769E-2</v>
      </c>
      <c r="N30" s="13"/>
      <c r="O30" s="13"/>
    </row>
    <row r="31" spans="1:15" ht="17">
      <c r="A31" s="13"/>
      <c r="B31" s="13"/>
      <c r="D31" s="15" t="s">
        <v>448</v>
      </c>
      <c r="E31" s="18">
        <f>AVERAGE(E16:E26)</f>
        <v>3.5254545454545454</v>
      </c>
      <c r="F31" s="22">
        <f>AVERAGE(F16:F26)</f>
        <v>16.519231264852102</v>
      </c>
      <c r="G31" s="75">
        <f>AVERAGE(G16:G26)</f>
        <v>6.1242519525100174E-2</v>
      </c>
      <c r="H31" s="13"/>
      <c r="J31" s="15" t="s">
        <v>448</v>
      </c>
      <c r="K31" s="18">
        <f>AVERAGE(K16:K26)</f>
        <v>3.8227272727272723</v>
      </c>
      <c r="L31" s="22">
        <f>AVERAGE(L16:L26)</f>
        <v>15.204368621400976</v>
      </c>
      <c r="M31" s="75">
        <f>AVERAGE(M16:M26)</f>
        <v>6.6395487357665844E-2</v>
      </c>
      <c r="N31" s="13"/>
      <c r="O31" s="13"/>
    </row>
    <row r="32" spans="1:15" ht="17">
      <c r="A32" s="13"/>
      <c r="B32" s="13"/>
      <c r="C32" s="13"/>
      <c r="D32" s="13"/>
      <c r="E32" s="13"/>
      <c r="F32" s="13"/>
      <c r="G32" s="13"/>
      <c r="H32" s="13"/>
      <c r="I32" s="13"/>
      <c r="J32" s="13"/>
      <c r="K32" s="13"/>
      <c r="L32" s="13"/>
      <c r="M32" s="13"/>
      <c r="N32" s="13"/>
      <c r="O32" s="13"/>
    </row>
    <row r="33" spans="1:15" ht="25.5">
      <c r="A33" s="13"/>
      <c r="B33" s="13"/>
      <c r="C33" s="13"/>
      <c r="D33" s="13"/>
      <c r="E33" s="79" t="s">
        <v>92</v>
      </c>
      <c r="F33" s="330">
        <v>16.52</v>
      </c>
      <c r="G33" s="331">
        <v>6.1199999999999997E-2</v>
      </c>
      <c r="H33" s="13"/>
      <c r="I33" s="13"/>
      <c r="J33" s="13"/>
      <c r="K33" s="79" t="s">
        <v>92</v>
      </c>
      <c r="L33" s="332">
        <v>15.2</v>
      </c>
      <c r="M33" s="331">
        <v>6.6400000000000001E-2</v>
      </c>
      <c r="N33" s="13"/>
      <c r="O33" s="13"/>
    </row>
    <row r="34" spans="1:15" ht="17">
      <c r="A34" s="13"/>
      <c r="B34" s="13"/>
      <c r="C34" s="13"/>
      <c r="D34" s="13"/>
      <c r="E34" s="13"/>
      <c r="F34" s="13"/>
      <c r="K34" s="13"/>
      <c r="L34" s="13"/>
      <c r="M34" s="13"/>
      <c r="N34" s="13"/>
      <c r="O34" s="13"/>
    </row>
    <row r="35" spans="1:15" ht="17">
      <c r="A35" s="13"/>
      <c r="B35" s="13"/>
      <c r="C35" s="13"/>
      <c r="D35" s="13"/>
      <c r="E35" s="13"/>
      <c r="F35" s="13"/>
      <c r="K35" s="13"/>
      <c r="L35" s="13"/>
      <c r="M35" s="13"/>
      <c r="N35" s="13"/>
      <c r="O35" s="13"/>
    </row>
    <row r="36" spans="1:15" ht="17.5" thickBot="1">
      <c r="A36" s="13"/>
      <c r="B36" s="13"/>
      <c r="C36" s="13"/>
      <c r="D36" s="13"/>
      <c r="E36" s="13"/>
      <c r="F36" s="13"/>
      <c r="K36" s="13"/>
      <c r="L36" s="13"/>
      <c r="M36" s="13"/>
      <c r="N36" s="13"/>
      <c r="O36" s="13"/>
    </row>
    <row r="37" spans="1:15" ht="30.75" customHeight="1" thickBot="1">
      <c r="A37" s="77" t="s">
        <v>0</v>
      </c>
      <c r="B37" s="77"/>
      <c r="C37" s="13"/>
      <c r="D37" s="13"/>
      <c r="E37" s="13"/>
      <c r="F37" s="13"/>
      <c r="G37" s="25" t="s">
        <v>143</v>
      </c>
      <c r="H37" s="13"/>
      <c r="I37" s="228">
        <f>(+F33+L33)/2</f>
        <v>15.86</v>
      </c>
      <c r="J37" s="229">
        <f>(+G33+M33)/2</f>
        <v>6.3799999999999996E-2</v>
      </c>
      <c r="N37" s="13"/>
      <c r="O37" s="13"/>
    </row>
    <row r="38" spans="1:15" ht="17">
      <c r="A38" s="77" t="s">
        <v>0</v>
      </c>
      <c r="B38" s="77"/>
      <c r="C38" s="13"/>
      <c r="D38" s="13"/>
      <c r="E38" s="13"/>
      <c r="F38" s="13"/>
      <c r="G38" s="13"/>
      <c r="H38" s="13"/>
      <c r="I38" s="13"/>
      <c r="J38" s="13"/>
      <c r="K38" s="13"/>
      <c r="L38" s="13"/>
      <c r="M38" s="13"/>
      <c r="N38" s="13"/>
      <c r="O38" s="13"/>
    </row>
    <row r="39" spans="1:15" ht="17">
      <c r="A39" s="13"/>
      <c r="B39" s="13"/>
      <c r="C39" s="13"/>
      <c r="D39" s="13"/>
      <c r="E39" s="13"/>
      <c r="F39" s="13"/>
      <c r="G39" s="13"/>
      <c r="H39" s="13"/>
      <c r="I39" s="13"/>
      <c r="J39" s="13"/>
      <c r="K39" s="13"/>
      <c r="L39" s="13"/>
      <c r="M39" s="13"/>
      <c r="N39" s="13"/>
      <c r="O39" s="13"/>
    </row>
    <row r="40" spans="1:15" ht="17">
      <c r="A40" s="13"/>
      <c r="B40" s="13"/>
      <c r="C40" s="13"/>
      <c r="D40" s="13"/>
      <c r="E40" s="13"/>
      <c r="F40" s="13"/>
      <c r="G40" s="13"/>
      <c r="H40" s="13"/>
      <c r="I40" s="13"/>
      <c r="J40" s="13"/>
      <c r="K40" s="13"/>
      <c r="L40" s="13"/>
      <c r="M40" s="13"/>
      <c r="N40" s="13"/>
      <c r="O40" s="13"/>
    </row>
    <row r="41" spans="1:15" ht="15" thickBot="1">
      <c r="B41" s="157"/>
      <c r="C41" s="157"/>
      <c r="D41" s="157"/>
      <c r="E41" s="157"/>
      <c r="F41" s="157"/>
      <c r="G41" s="157"/>
      <c r="H41" s="157"/>
    </row>
    <row r="42" spans="1:15" ht="25.5">
      <c r="B42" s="32"/>
      <c r="C42" s="13"/>
      <c r="D42" s="13"/>
      <c r="E42" s="33" t="s">
        <v>447</v>
      </c>
      <c r="F42" s="13"/>
      <c r="G42" s="13"/>
    </row>
    <row r="43" spans="1:15" ht="21.5" thickBot="1">
      <c r="A43" s="32"/>
      <c r="B43" s="158"/>
      <c r="C43" s="30"/>
      <c r="D43" s="30"/>
      <c r="E43" s="38" t="s">
        <v>488</v>
      </c>
      <c r="F43" s="30"/>
      <c r="G43" s="30"/>
      <c r="H43" s="157"/>
    </row>
    <row r="44" spans="1:15" ht="15.5" thickBot="1">
      <c r="A44" s="35" t="s">
        <v>0</v>
      </c>
      <c r="B44" s="35"/>
      <c r="C44" s="35" t="s">
        <v>0</v>
      </c>
      <c r="D44" s="35" t="s">
        <v>0</v>
      </c>
      <c r="E44" s="35" t="s">
        <v>0</v>
      </c>
      <c r="F44" s="35" t="s">
        <v>0</v>
      </c>
      <c r="G44" s="35" t="s">
        <v>0</v>
      </c>
    </row>
    <row r="45" spans="1:15" ht="17">
      <c r="A45" s="36" t="s">
        <v>0</v>
      </c>
      <c r="B45" s="36"/>
      <c r="C45" s="36" t="s">
        <v>3</v>
      </c>
      <c r="D45" s="36" t="s">
        <v>380</v>
      </c>
      <c r="E45" s="36" t="s">
        <v>381</v>
      </c>
      <c r="F45" s="36" t="s">
        <v>130</v>
      </c>
      <c r="G45" s="36" t="s">
        <v>27</v>
      </c>
    </row>
    <row r="46" spans="1:15" ht="17.5" thickBot="1">
      <c r="A46" s="38" t="s">
        <v>2</v>
      </c>
      <c r="B46" s="38"/>
      <c r="C46" s="38" t="s">
        <v>4</v>
      </c>
      <c r="D46" s="38" t="s">
        <v>28</v>
      </c>
      <c r="E46" s="38" t="s">
        <v>188</v>
      </c>
      <c r="F46" s="38" t="s">
        <v>29</v>
      </c>
      <c r="G46" s="38" t="s">
        <v>30</v>
      </c>
    </row>
    <row r="47" spans="1:15" ht="16">
      <c r="A47" s="40" t="s">
        <v>0</v>
      </c>
      <c r="B47" s="40"/>
      <c r="C47" s="40" t="s">
        <v>0</v>
      </c>
      <c r="D47" s="41" t="s">
        <v>132</v>
      </c>
      <c r="E47" s="78" t="s">
        <v>263</v>
      </c>
      <c r="F47" s="40" t="s">
        <v>0</v>
      </c>
      <c r="G47" s="40" t="s">
        <v>0</v>
      </c>
    </row>
    <row r="48" spans="1:15" ht="17">
      <c r="A48" s="36"/>
      <c r="B48" s="36"/>
      <c r="C48" s="36"/>
      <c r="D48" s="36"/>
      <c r="E48" s="36"/>
      <c r="F48" s="36"/>
      <c r="G48" s="36"/>
    </row>
    <row r="49" spans="1:7" ht="17">
      <c r="A49" s="13"/>
      <c r="B49" s="13"/>
      <c r="C49" s="13"/>
      <c r="D49" s="13"/>
      <c r="E49" s="13"/>
      <c r="F49" s="13"/>
      <c r="G49" s="13"/>
    </row>
    <row r="50" spans="1:7" ht="17.5">
      <c r="A50" s="45" t="str">
        <f>+'S&amp;D'!A22</f>
        <v>Atmos Energy Corp</v>
      </c>
      <c r="B50" s="45"/>
      <c r="C50" s="36" t="str">
        <f>+'S&amp;D'!B22</f>
        <v>ATO</v>
      </c>
      <c r="D50" s="62">
        <f>'S&amp;D'!G22</f>
        <v>115.9</v>
      </c>
      <c r="E50" s="64">
        <v>8.35</v>
      </c>
      <c r="F50" s="72">
        <f>D50/E50</f>
        <v>13.880239520958085</v>
      </c>
      <c r="G50" s="59">
        <f t="shared" ref="G50:G60" si="9">1/F50</f>
        <v>7.2044866264020707E-2</v>
      </c>
    </row>
    <row r="51" spans="1:7" ht="17.5">
      <c r="A51" s="45" t="str">
        <f>+'S&amp;D'!A23</f>
        <v>Black Hills Corporation</v>
      </c>
      <c r="B51" s="45"/>
      <c r="C51" s="36" t="str">
        <f>+'S&amp;D'!B23</f>
        <v>BKH</v>
      </c>
      <c r="D51" s="62">
        <f>'S&amp;D'!G23</f>
        <v>53.95</v>
      </c>
      <c r="E51" s="64">
        <v>4.75</v>
      </c>
      <c r="F51" s="72">
        <f>D51/E51</f>
        <v>11.357894736842105</v>
      </c>
      <c r="G51" s="59">
        <f t="shared" si="9"/>
        <v>8.8044485634847083E-2</v>
      </c>
    </row>
    <row r="52" spans="1:7" ht="17.5">
      <c r="A52" s="45" t="str">
        <f>+'S&amp;D'!A24</f>
        <v>CenterPoint Energy Inc.</v>
      </c>
      <c r="B52" s="45"/>
      <c r="C52" s="36" t="str">
        <f>+'S&amp;D'!B24</f>
        <v>CNP</v>
      </c>
      <c r="D52" s="62">
        <f>'S&amp;D'!G24</f>
        <v>28.57</v>
      </c>
      <c r="E52" s="64">
        <v>1.9</v>
      </c>
      <c r="F52" s="72">
        <f>D52/E52</f>
        <v>15.036842105263158</v>
      </c>
      <c r="G52" s="59">
        <f t="shared" si="9"/>
        <v>6.6503325166258315E-2</v>
      </c>
    </row>
    <row r="53" spans="1:7" ht="17.5">
      <c r="A53" s="45" t="str">
        <f>+'S&amp;D'!A25</f>
        <v>CMS Energy Corporation</v>
      </c>
      <c r="B53" s="45"/>
      <c r="C53" s="36" t="str">
        <f>+'S&amp;D'!B25</f>
        <v>CMS</v>
      </c>
      <c r="D53" s="62">
        <f>'S&amp;D'!G25</f>
        <v>58.07</v>
      </c>
      <c r="E53" s="64">
        <v>3.75</v>
      </c>
      <c r="F53" s="72">
        <f>D53/E53</f>
        <v>15.485333333333333</v>
      </c>
      <c r="G53" s="59">
        <f t="shared" si="9"/>
        <v>6.4577234372309278E-2</v>
      </c>
    </row>
    <row r="54" spans="1:7" ht="17.5">
      <c r="A54" s="45" t="str">
        <f>+'S&amp;D'!A26</f>
        <v>New Jersey Resources Corp</v>
      </c>
      <c r="B54" s="45"/>
      <c r="C54" s="36" t="str">
        <f>+'S&amp;D'!B26</f>
        <v>NJR</v>
      </c>
      <c r="D54" s="62">
        <f>'S&amp;D'!G26</f>
        <v>44.58</v>
      </c>
      <c r="E54" s="64">
        <v>3.5</v>
      </c>
      <c r="F54" s="72">
        <f t="shared" ref="F54:F60" si="10">D54/E54</f>
        <v>12.737142857142857</v>
      </c>
      <c r="G54" s="59">
        <f t="shared" si="9"/>
        <v>7.8510542844324807E-2</v>
      </c>
    </row>
    <row r="55" spans="1:7" ht="17.5">
      <c r="A55" s="45" t="str">
        <f>+'S&amp;D'!A27</f>
        <v>NISOURCE Inc.</v>
      </c>
      <c r="B55" s="45"/>
      <c r="C55" s="36" t="str">
        <f>+'S&amp;D'!B27</f>
        <v>NI</v>
      </c>
      <c r="D55" s="62">
        <f>'S&amp;D'!G27</f>
        <v>26.55</v>
      </c>
      <c r="E55" s="64">
        <v>2.1</v>
      </c>
      <c r="F55" s="72">
        <f t="shared" si="10"/>
        <v>12.642857142857142</v>
      </c>
      <c r="G55" s="59">
        <f t="shared" si="9"/>
        <v>7.909604519774012E-2</v>
      </c>
    </row>
    <row r="56" spans="1:7" ht="17.5">
      <c r="A56" s="45" t="str">
        <f>+'S&amp;D'!A28</f>
        <v xml:space="preserve">Northwest Natural Holding Company </v>
      </c>
      <c r="B56" s="45"/>
      <c r="C56" s="36" t="str">
        <f>+'S&amp;D'!B28</f>
        <v>NWN</v>
      </c>
      <c r="D56" s="62">
        <f>'S&amp;D'!G28</f>
        <v>38.94</v>
      </c>
      <c r="E56" s="64">
        <v>3.25</v>
      </c>
      <c r="F56" s="72">
        <f t="shared" si="10"/>
        <v>11.981538461538461</v>
      </c>
      <c r="G56" s="59">
        <f t="shared" si="9"/>
        <v>8.3461736004108888E-2</v>
      </c>
    </row>
    <row r="57" spans="1:7" ht="17.5">
      <c r="A57" s="45" t="str">
        <f>+'S&amp;D'!A29</f>
        <v>One Gas INC</v>
      </c>
      <c r="B57" s="45"/>
      <c r="C57" s="36" t="str">
        <f>+'S&amp;D'!B29</f>
        <v>OGS</v>
      </c>
      <c r="D57" s="62">
        <f>'S&amp;D'!G29</f>
        <v>63.72</v>
      </c>
      <c r="E57" s="64">
        <v>5</v>
      </c>
      <c r="F57" s="72">
        <f t="shared" si="10"/>
        <v>12.744</v>
      </c>
      <c r="G57" s="59">
        <f t="shared" si="9"/>
        <v>7.8468298807281858E-2</v>
      </c>
    </row>
    <row r="58" spans="1:7" ht="17.5">
      <c r="A58" s="45" t="str">
        <f>+'S&amp;D'!A30</f>
        <v>Southwest Gas Holdings, Inc</v>
      </c>
      <c r="B58" s="45"/>
      <c r="C58" s="36" t="str">
        <f>+'S&amp;D'!B30</f>
        <v>SWX</v>
      </c>
      <c r="D58" s="62">
        <f>'S&amp;D'!G30</f>
        <v>63.35</v>
      </c>
      <c r="E58" s="64">
        <v>4.25</v>
      </c>
      <c r="F58" s="72">
        <f t="shared" si="10"/>
        <v>14.905882352941177</v>
      </c>
      <c r="G58" s="59">
        <f t="shared" si="9"/>
        <v>6.7087608524072612E-2</v>
      </c>
    </row>
    <row r="59" spans="1:7" ht="17.5">
      <c r="A59" s="45" t="str">
        <f>+'S&amp;D'!A31</f>
        <v>Spire Inc / Laclede Group Inc</v>
      </c>
      <c r="B59" s="45"/>
      <c r="C59" s="36" t="str">
        <f>+'S&amp;D'!B31</f>
        <v>SR</v>
      </c>
      <c r="D59" s="62">
        <f>'S&amp;D'!G31</f>
        <v>62.34</v>
      </c>
      <c r="E59" s="64">
        <v>5.5</v>
      </c>
      <c r="F59" s="72">
        <f t="shared" si="10"/>
        <v>11.334545454545456</v>
      </c>
      <c r="G59" s="59">
        <f t="shared" si="9"/>
        <v>8.8225858196984266E-2</v>
      </c>
    </row>
    <row r="60" spans="1:7" ht="17.5">
      <c r="A60" s="45" t="str">
        <f>+'S&amp;D'!A32</f>
        <v>WEC Energy Group</v>
      </c>
      <c r="B60" s="45"/>
      <c r="C60" s="36" t="str">
        <f>+'S&amp;D'!B32</f>
        <v>WEC</v>
      </c>
      <c r="D60" s="62">
        <f>'S&amp;D'!G32</f>
        <v>84.17</v>
      </c>
      <c r="E60" s="64">
        <v>6.3</v>
      </c>
      <c r="F60" s="72">
        <f t="shared" si="10"/>
        <v>13.360317460317461</v>
      </c>
      <c r="G60" s="59">
        <f t="shared" si="9"/>
        <v>7.4848520850659378E-2</v>
      </c>
    </row>
    <row r="61" spans="1:7" ht="17.5" thickBot="1">
      <c r="A61" s="13"/>
      <c r="B61" s="13"/>
      <c r="C61" s="73"/>
      <c r="D61" s="73"/>
      <c r="E61" s="73"/>
      <c r="F61" s="73"/>
      <c r="G61" s="73"/>
    </row>
    <row r="62" spans="1:7" ht="17.5" thickTop="1">
      <c r="A62" s="13"/>
      <c r="B62" s="13"/>
      <c r="D62" s="15" t="s">
        <v>56</v>
      </c>
      <c r="E62" s="312">
        <f t="shared" ref="E62:G62" si="11">MAX(E50:E60)</f>
        <v>8.35</v>
      </c>
      <c r="F62" s="312">
        <f t="shared" si="11"/>
        <v>15.485333333333333</v>
      </c>
      <c r="G62" s="301">
        <f t="shared" si="11"/>
        <v>8.8225858196984266E-2</v>
      </c>
    </row>
    <row r="63" spans="1:7" ht="17">
      <c r="A63" s="13"/>
      <c r="B63" s="13"/>
      <c r="D63" s="15" t="s">
        <v>57</v>
      </c>
      <c r="E63" s="316">
        <f t="shared" ref="E63:G63" si="12">MIN(E50:E60)</f>
        <v>1.9</v>
      </c>
      <c r="F63" s="316">
        <f t="shared" si="12"/>
        <v>11.334545454545456</v>
      </c>
      <c r="G63" s="302">
        <f t="shared" si="12"/>
        <v>6.4577234372309278E-2</v>
      </c>
    </row>
    <row r="64" spans="1:7" ht="17">
      <c r="A64" s="13"/>
      <c r="B64" s="13"/>
      <c r="D64" s="15" t="s">
        <v>18</v>
      </c>
      <c r="E64" s="74">
        <f>MEDIAN(E50:E60)</f>
        <v>4.25</v>
      </c>
      <c r="F64" s="22">
        <f>MEDIAN(F50:F60)</f>
        <v>12.744</v>
      </c>
      <c r="G64" s="59">
        <f>MEDIAN(G50:G60)</f>
        <v>7.8468298807281858E-2</v>
      </c>
    </row>
    <row r="65" spans="1:7" ht="17">
      <c r="A65" s="13"/>
      <c r="B65" s="13"/>
      <c r="D65" s="15" t="s">
        <v>448</v>
      </c>
      <c r="E65" s="18">
        <f>AVERAGE(E50:E60)</f>
        <v>4.4227272727272728</v>
      </c>
      <c r="F65" s="22">
        <f>AVERAGE(F50:F60)</f>
        <v>13.224235765976294</v>
      </c>
      <c r="G65" s="75">
        <f>AVERAGE(G50:G60)</f>
        <v>7.6442592896600672E-2</v>
      </c>
    </row>
    <row r="66" spans="1:7" ht="17">
      <c r="A66" s="13"/>
      <c r="B66" s="13"/>
      <c r="C66" s="13"/>
      <c r="D66" s="13"/>
      <c r="E66" s="13"/>
      <c r="F66" s="13"/>
      <c r="G66" s="13"/>
    </row>
    <row r="67" spans="1:7" ht="25.5">
      <c r="A67" s="13"/>
      <c r="B67" s="13"/>
      <c r="C67" s="13"/>
      <c r="D67" s="13"/>
      <c r="E67" s="79" t="s">
        <v>92</v>
      </c>
      <c r="F67" s="330">
        <v>13.22</v>
      </c>
      <c r="G67" s="331">
        <v>7.6399999999999996E-2</v>
      </c>
    </row>
  </sheetData>
  <pageMargins left="0.25" right="0.25" top="0.75" bottom="0.75" header="0.3" footer="0.3"/>
  <pageSetup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18"/>
  <sheetViews>
    <sheetView view="pageBreakPreview" topLeftCell="A21" zoomScale="60" zoomScaleNormal="80" workbookViewId="0">
      <selection activeCell="G30" sqref="G30"/>
    </sheetView>
  </sheetViews>
  <sheetFormatPr defaultRowHeight="14.5"/>
  <cols>
    <col min="1" max="1" width="62.453125" customWidth="1"/>
    <col min="2" max="2" width="25.7265625" customWidth="1"/>
    <col min="3" max="3" width="30.26953125" customWidth="1"/>
    <col min="4" max="5" width="30.54296875" customWidth="1"/>
    <col min="6" max="6" width="28.1796875" customWidth="1"/>
    <col min="7" max="7" width="32.7265625" customWidth="1"/>
    <col min="8" max="8" width="37.7265625" customWidth="1"/>
    <col min="9" max="9" width="49.26953125" customWidth="1"/>
    <col min="10" max="10" width="13.81640625" customWidth="1"/>
    <col min="11" max="12" width="14.1796875" bestFit="1" customWidth="1"/>
  </cols>
  <sheetData>
    <row r="1" spans="1:11" ht="25.5">
      <c r="A1" s="25" t="s">
        <v>1</v>
      </c>
      <c r="C1" s="25"/>
      <c r="D1" s="25"/>
      <c r="E1" s="13"/>
      <c r="F1" s="13"/>
      <c r="G1" s="13"/>
      <c r="H1" s="13"/>
      <c r="I1" s="13"/>
      <c r="J1" s="13"/>
      <c r="K1" s="13"/>
    </row>
    <row r="2" spans="1:11" ht="17.5">
      <c r="A2" s="26" t="s">
        <v>9</v>
      </c>
      <c r="C2" s="26"/>
      <c r="D2" s="26"/>
      <c r="E2" s="13"/>
      <c r="F2" s="13"/>
      <c r="G2" s="13"/>
      <c r="H2" s="13"/>
      <c r="I2" s="13"/>
      <c r="J2" s="13"/>
      <c r="K2" s="13"/>
    </row>
    <row r="3" spans="1:11" ht="17">
      <c r="A3" s="27" t="s">
        <v>487</v>
      </c>
      <c r="C3" s="27"/>
      <c r="D3" s="27"/>
      <c r="E3" s="13"/>
      <c r="F3" s="13"/>
      <c r="G3" s="13"/>
      <c r="H3" s="13"/>
      <c r="I3" s="13"/>
      <c r="J3" s="13"/>
      <c r="K3" s="13"/>
    </row>
    <row r="4" spans="1:11" ht="17">
      <c r="B4" s="27"/>
      <c r="C4" s="27"/>
      <c r="D4" s="27"/>
      <c r="E4" s="13"/>
      <c r="F4" s="13"/>
      <c r="G4" s="13"/>
      <c r="H4" s="13"/>
      <c r="I4" s="13"/>
      <c r="J4" s="13"/>
      <c r="K4" s="13"/>
    </row>
    <row r="5" spans="1:11" ht="17">
      <c r="B5" s="13"/>
      <c r="C5" s="13"/>
      <c r="D5" s="13"/>
      <c r="E5" s="13"/>
      <c r="F5" s="13"/>
      <c r="G5" s="13"/>
      <c r="H5" s="13"/>
      <c r="I5" s="28" t="s">
        <v>0</v>
      </c>
      <c r="J5" s="28"/>
      <c r="K5" s="13"/>
    </row>
    <row r="6" spans="1:11" ht="17.5" thickBot="1">
      <c r="B6" s="13"/>
      <c r="C6" s="13"/>
      <c r="D6" s="30"/>
      <c r="E6" s="30"/>
      <c r="F6" s="157"/>
      <c r="H6" s="13"/>
      <c r="I6" s="13"/>
      <c r="J6" s="13"/>
      <c r="K6" s="13"/>
    </row>
    <row r="7" spans="1:11" ht="26" thickBot="1">
      <c r="A7" s="29" t="str">
        <f>+'S&amp;D'!A12</f>
        <v>Natural Gas Utility Distribution</v>
      </c>
      <c r="C7" s="32"/>
      <c r="D7" s="32"/>
      <c r="E7" s="33" t="s">
        <v>276</v>
      </c>
      <c r="H7" s="13"/>
      <c r="I7" s="13"/>
      <c r="J7" s="13"/>
      <c r="K7" s="13"/>
    </row>
    <row r="8" spans="1:11" ht="21.5" thickBot="1">
      <c r="B8" s="32"/>
      <c r="C8" s="32"/>
      <c r="D8" s="158"/>
      <c r="E8" s="38" t="s">
        <v>488</v>
      </c>
      <c r="F8" s="157"/>
      <c r="H8" s="13"/>
      <c r="I8" s="13"/>
      <c r="J8" s="13"/>
      <c r="K8" s="13"/>
    </row>
    <row r="9" spans="1:11" ht="21">
      <c r="B9" s="32"/>
      <c r="C9" s="32"/>
      <c r="D9" s="32"/>
      <c r="E9" s="36"/>
      <c r="H9" s="13"/>
      <c r="I9" s="13"/>
      <c r="J9" s="13"/>
      <c r="K9" s="13"/>
    </row>
    <row r="10" spans="1:11" ht="21.5" thickBot="1">
      <c r="A10" s="158"/>
      <c r="B10" s="32"/>
      <c r="I10" s="13"/>
      <c r="J10" s="13"/>
      <c r="K10" s="13"/>
    </row>
    <row r="11" spans="1:11" ht="22.5" customHeight="1" thickBot="1">
      <c r="A11" s="170" t="s">
        <v>271</v>
      </c>
      <c r="B11" s="32"/>
      <c r="I11" s="13"/>
      <c r="J11" s="13"/>
      <c r="K11" s="13"/>
    </row>
    <row r="12" spans="1:11" ht="26.25" customHeight="1" thickBot="1">
      <c r="A12" s="169" t="s">
        <v>0</v>
      </c>
      <c r="B12" s="13"/>
      <c r="C12" s="13"/>
      <c r="D12" s="13"/>
      <c r="E12" s="13"/>
      <c r="F12" s="13"/>
      <c r="G12" s="13"/>
      <c r="H12" s="13"/>
      <c r="I12" s="13"/>
      <c r="J12" s="13"/>
      <c r="K12" s="13"/>
    </row>
    <row r="13" spans="1:11" ht="66.75" customHeight="1" thickBot="1">
      <c r="A13" s="233" t="s">
        <v>293</v>
      </c>
      <c r="B13" s="164" t="s">
        <v>336</v>
      </c>
      <c r="C13" s="164" t="s">
        <v>302</v>
      </c>
      <c r="D13" s="164" t="s">
        <v>301</v>
      </c>
      <c r="I13" s="13"/>
      <c r="J13" s="13"/>
      <c r="K13" s="13"/>
    </row>
    <row r="14" spans="1:11" ht="17">
      <c r="A14" s="159"/>
      <c r="B14" s="221"/>
      <c r="C14" s="221"/>
      <c r="D14" s="221"/>
      <c r="I14" s="13"/>
      <c r="J14" s="13"/>
      <c r="K14" s="13"/>
    </row>
    <row r="15" spans="1:11" ht="21">
      <c r="A15" s="167" t="str">
        <f>+A7</f>
        <v>Natural Gas Utility Distribution</v>
      </c>
      <c r="B15" s="244">
        <v>5.8000000000000003E-2</v>
      </c>
      <c r="C15" s="244">
        <f>+'Dividends '!K30</f>
        <v>2.3264108093814507E-2</v>
      </c>
      <c r="D15" s="244">
        <f>+Earnings!K30</f>
        <v>5.8955896068659343E-2</v>
      </c>
      <c r="I15" s="13"/>
      <c r="J15" s="13"/>
      <c r="K15" s="13"/>
    </row>
    <row r="16" spans="1:11" ht="21.5" thickBot="1">
      <c r="A16" s="161" t="s">
        <v>0</v>
      </c>
      <c r="B16" s="222" t="s">
        <v>0</v>
      </c>
      <c r="C16" s="270">
        <f>+'Dividends '!K31</f>
        <v>2.823273826327859E-2</v>
      </c>
      <c r="D16" s="270">
        <f>+Earnings!K31</f>
        <v>4.8043316502244034E-2</v>
      </c>
      <c r="I16" s="13"/>
      <c r="J16" s="13"/>
      <c r="K16" s="13"/>
    </row>
    <row r="17" spans="1:11" ht="21">
      <c r="A17" s="231"/>
      <c r="B17" s="232"/>
      <c r="I17" s="13"/>
      <c r="J17" s="13"/>
      <c r="K17" s="13"/>
    </row>
    <row r="18" spans="1:11" ht="17">
      <c r="A18" s="13"/>
      <c r="B18" s="13"/>
      <c r="C18" s="13"/>
      <c r="D18" s="13"/>
      <c r="E18" s="13"/>
      <c r="F18" s="13"/>
      <c r="G18" s="13"/>
      <c r="H18" s="13"/>
      <c r="I18" s="13"/>
      <c r="J18" s="13"/>
      <c r="K18" s="13"/>
    </row>
    <row r="19" spans="1:11" ht="17.5" thickBot="1">
      <c r="A19" s="13"/>
      <c r="B19" s="13"/>
      <c r="C19" s="13"/>
      <c r="D19" s="13"/>
      <c r="E19" s="13"/>
      <c r="F19" s="13"/>
      <c r="G19" s="13"/>
      <c r="H19" s="13"/>
      <c r="I19" s="13"/>
      <c r="J19" s="13"/>
      <c r="K19" s="13"/>
    </row>
    <row r="20" spans="1:11" ht="21.5" thickBot="1">
      <c r="A20" s="170" t="s">
        <v>292</v>
      </c>
      <c r="B20" s="32"/>
      <c r="I20" s="13"/>
      <c r="J20" s="13"/>
      <c r="K20" s="13"/>
    </row>
    <row r="21" spans="1:11" ht="18" thickBot="1">
      <c r="A21" s="169" t="s">
        <v>0</v>
      </c>
      <c r="B21" s="13"/>
      <c r="C21" s="13"/>
      <c r="D21" s="13"/>
      <c r="E21" s="13"/>
      <c r="F21" s="13"/>
      <c r="G21" s="13"/>
      <c r="H21" s="13"/>
      <c r="I21" s="13"/>
      <c r="J21" s="13"/>
      <c r="K21" s="13"/>
    </row>
    <row r="22" spans="1:11" ht="64.5" customHeight="1" thickBot="1">
      <c r="A22" s="233" t="s">
        <v>294</v>
      </c>
      <c r="B22" s="164" t="s">
        <v>335</v>
      </c>
      <c r="C22" s="163" t="s">
        <v>250</v>
      </c>
      <c r="D22" s="164" t="s">
        <v>251</v>
      </c>
      <c r="E22" s="164" t="s">
        <v>252</v>
      </c>
      <c r="F22" s="164" t="s">
        <v>336</v>
      </c>
      <c r="G22" s="271" t="s">
        <v>18</v>
      </c>
      <c r="H22" s="271" t="s">
        <v>19</v>
      </c>
      <c r="I22" s="13"/>
      <c r="J22" s="13"/>
      <c r="K22" s="13"/>
    </row>
    <row r="23" spans="1:11" ht="17">
      <c r="A23" s="159"/>
      <c r="B23" s="221"/>
      <c r="C23" s="119"/>
      <c r="D23" s="221"/>
      <c r="E23" s="119"/>
      <c r="F23" s="221"/>
      <c r="G23" s="321"/>
      <c r="H23" s="172"/>
      <c r="I23" s="13"/>
      <c r="J23" s="13"/>
      <c r="K23" s="13"/>
    </row>
    <row r="24" spans="1:11" ht="21">
      <c r="A24" s="167" t="str">
        <f>+A7</f>
        <v>Natural Gas Utility Distribution</v>
      </c>
      <c r="B24" s="244">
        <v>7.0000000000000007E-2</v>
      </c>
      <c r="C24" s="319">
        <v>6.5000000000000002E-2</v>
      </c>
      <c r="D24" s="244">
        <v>0.05</v>
      </c>
      <c r="E24" s="319">
        <v>5.1999999999999998E-2</v>
      </c>
      <c r="F24" s="244">
        <v>5.8999999999999997E-2</v>
      </c>
      <c r="G24" s="322">
        <f>MEDIAN(B24:F24)</f>
        <v>5.8999999999999997E-2</v>
      </c>
      <c r="H24" s="266">
        <f>AVERAGE(B24:F24)</f>
        <v>5.9199999999999996E-2</v>
      </c>
      <c r="I24" s="13"/>
      <c r="J24" s="13"/>
      <c r="K24" s="13"/>
    </row>
    <row r="25" spans="1:11" ht="21.5" thickBot="1">
      <c r="A25" s="161" t="s">
        <v>0</v>
      </c>
      <c r="B25" s="222" t="s">
        <v>0</v>
      </c>
      <c r="C25" s="168" t="s">
        <v>0</v>
      </c>
      <c r="D25" s="222" t="s">
        <v>0</v>
      </c>
      <c r="E25" s="168" t="s">
        <v>0</v>
      </c>
      <c r="F25" s="222" t="s">
        <v>0</v>
      </c>
      <c r="G25" s="323"/>
      <c r="H25" s="171"/>
      <c r="I25" s="13"/>
      <c r="J25" s="13"/>
      <c r="K25" s="13"/>
    </row>
    <row r="26" spans="1:11" ht="17">
      <c r="A26" s="13"/>
      <c r="B26" s="13"/>
      <c r="C26" s="13"/>
      <c r="D26" s="13"/>
      <c r="E26" s="13"/>
      <c r="F26" s="13"/>
      <c r="G26" s="13"/>
      <c r="H26" s="13"/>
      <c r="I26" s="13"/>
      <c r="J26" s="13"/>
      <c r="K26" s="13"/>
    </row>
    <row r="27" spans="1:11" ht="17">
      <c r="A27" s="13"/>
      <c r="B27" s="13"/>
      <c r="C27" s="13"/>
      <c r="D27" s="13"/>
      <c r="E27" s="13"/>
      <c r="F27" s="13"/>
      <c r="G27" s="13"/>
      <c r="H27" s="13"/>
      <c r="I27" s="13"/>
      <c r="J27" s="13"/>
      <c r="K27" s="13"/>
    </row>
    <row r="28" spans="1:11" ht="17">
      <c r="A28" s="13"/>
      <c r="B28" s="13" t="s">
        <v>0</v>
      </c>
      <c r="C28" s="13"/>
      <c r="D28" s="13"/>
      <c r="E28" s="13"/>
      <c r="F28" s="13"/>
      <c r="G28" s="13"/>
      <c r="H28" s="13"/>
      <c r="I28" s="13"/>
      <c r="J28" s="13"/>
      <c r="K28" s="13"/>
    </row>
    <row r="29" spans="1:11" ht="17.5" thickBot="1">
      <c r="A29" s="13"/>
      <c r="B29" s="13"/>
      <c r="C29" s="13"/>
      <c r="D29" s="13"/>
      <c r="E29" s="13"/>
      <c r="F29" s="13"/>
      <c r="G29" s="13"/>
      <c r="H29" s="13"/>
      <c r="I29" s="13"/>
      <c r="J29" s="13"/>
      <c r="K29" s="13"/>
    </row>
    <row r="30" spans="1:11" ht="21.5" thickBot="1">
      <c r="A30" s="170" t="s">
        <v>273</v>
      </c>
      <c r="B30" s="13"/>
      <c r="C30" s="13"/>
      <c r="D30" s="13"/>
      <c r="E30" s="13"/>
      <c r="F30" s="13"/>
      <c r="G30" s="13"/>
      <c r="H30" s="13"/>
      <c r="I30" s="13"/>
      <c r="J30" s="13"/>
      <c r="K30" s="13"/>
    </row>
    <row r="31" spans="1:11" ht="17">
      <c r="A31" s="13"/>
      <c r="B31" s="13"/>
      <c r="C31" s="13"/>
      <c r="D31" s="13"/>
      <c r="E31" s="13"/>
      <c r="F31" s="13"/>
      <c r="G31" s="13"/>
      <c r="H31" s="13"/>
      <c r="I31" s="13"/>
      <c r="J31" s="13"/>
      <c r="K31" s="13"/>
    </row>
    <row r="32" spans="1:11" ht="17">
      <c r="A32" s="13"/>
      <c r="B32" s="13"/>
      <c r="C32" s="13"/>
      <c r="D32" s="13"/>
      <c r="E32" s="13"/>
      <c r="F32" s="13"/>
      <c r="G32" s="13"/>
      <c r="H32" s="13"/>
      <c r="I32" s="13"/>
      <c r="J32" s="13"/>
      <c r="K32" s="13"/>
    </row>
    <row r="33" spans="1:11" ht="26">
      <c r="A33" s="409">
        <v>1.84E-2</v>
      </c>
      <c r="B33" s="32" t="s">
        <v>491</v>
      </c>
      <c r="C33" s="13"/>
      <c r="E33" s="209" t="s">
        <v>0</v>
      </c>
      <c r="F33" s="13"/>
      <c r="G33" s="13"/>
      <c r="H33" s="13"/>
      <c r="I33" s="13"/>
      <c r="J33" s="13"/>
      <c r="K33" s="13"/>
    </row>
    <row r="34" spans="1:11" ht="26">
      <c r="A34" s="224"/>
      <c r="B34" s="13" t="s">
        <v>492</v>
      </c>
      <c r="C34" s="13"/>
      <c r="D34" s="13"/>
      <c r="E34" s="13"/>
      <c r="F34" s="13"/>
      <c r="G34" s="13"/>
      <c r="H34" s="13"/>
      <c r="I34" s="13"/>
      <c r="J34" s="13"/>
      <c r="K34" s="13"/>
    </row>
    <row r="35" spans="1:11" ht="26">
      <c r="A35" s="224"/>
      <c r="B35" s="425" t="s">
        <v>316</v>
      </c>
      <c r="C35" s="13"/>
      <c r="D35" s="13"/>
      <c r="E35" s="13"/>
      <c r="F35" s="13"/>
      <c r="G35" s="13"/>
      <c r="H35" s="13"/>
      <c r="I35" s="13"/>
      <c r="J35" s="13"/>
      <c r="K35" s="13"/>
    </row>
    <row r="36" spans="1:11" ht="26">
      <c r="A36" s="325">
        <v>1.7999999999999999E-2</v>
      </c>
      <c r="B36" s="32" t="s">
        <v>274</v>
      </c>
      <c r="C36" s="13"/>
      <c r="D36" s="13"/>
      <c r="E36" s="13"/>
      <c r="F36" s="13"/>
      <c r="G36" s="13"/>
      <c r="H36" s="13"/>
      <c r="I36" s="13"/>
      <c r="J36" s="13"/>
      <c r="K36" s="13"/>
    </row>
    <row r="37" spans="1:11" ht="26">
      <c r="A37" s="223"/>
      <c r="B37" s="225" t="s">
        <v>493</v>
      </c>
      <c r="C37" s="13"/>
      <c r="D37" s="13"/>
      <c r="E37" s="13"/>
      <c r="F37" s="13"/>
      <c r="G37" s="13"/>
      <c r="H37" s="13"/>
      <c r="I37" s="13"/>
      <c r="J37" s="13"/>
      <c r="K37" s="13"/>
    </row>
    <row r="38" spans="1:11" ht="26">
      <c r="A38" s="223"/>
      <c r="B38" s="425" t="s">
        <v>494</v>
      </c>
      <c r="C38" s="13"/>
      <c r="D38" s="13"/>
      <c r="E38" s="13"/>
      <c r="F38" s="13"/>
      <c r="G38" s="13"/>
      <c r="H38" s="13"/>
      <c r="I38" s="13"/>
      <c r="J38" s="13"/>
      <c r="K38" s="13"/>
    </row>
    <row r="39" spans="1:11" ht="26">
      <c r="A39" s="325" t="s">
        <v>495</v>
      </c>
      <c r="B39" s="32" t="s">
        <v>275</v>
      </c>
      <c r="C39" s="13"/>
      <c r="D39" s="13"/>
      <c r="E39" s="13"/>
      <c r="F39" s="13"/>
      <c r="G39" s="13"/>
      <c r="H39" s="13"/>
      <c r="I39" s="13"/>
      <c r="J39" s="13"/>
      <c r="K39" s="13"/>
    </row>
    <row r="40" spans="1:11" ht="26">
      <c r="A40" s="223"/>
      <c r="B40" s="132" t="s">
        <v>496</v>
      </c>
      <c r="C40" s="13"/>
      <c r="D40" s="13"/>
      <c r="E40" s="13"/>
      <c r="F40" s="13"/>
      <c r="G40" s="13"/>
      <c r="H40" s="13"/>
      <c r="I40" s="13"/>
      <c r="J40" s="13"/>
      <c r="K40" s="13"/>
    </row>
    <row r="41" spans="1:11" ht="26">
      <c r="A41" s="223"/>
      <c r="B41" s="425" t="s">
        <v>334</v>
      </c>
      <c r="C41" s="13"/>
      <c r="D41" s="13"/>
      <c r="E41" s="13"/>
      <c r="F41" s="13"/>
      <c r="G41" s="13"/>
      <c r="H41" s="13"/>
      <c r="I41" s="13"/>
      <c r="J41" s="13"/>
      <c r="K41" s="13"/>
    </row>
    <row r="42" spans="1:11" ht="26">
      <c r="A42" s="409">
        <v>1.9E-2</v>
      </c>
      <c r="B42" s="32" t="s">
        <v>481</v>
      </c>
      <c r="C42" s="13"/>
      <c r="D42" s="13"/>
      <c r="E42" s="13"/>
      <c r="F42" s="13"/>
      <c r="G42" s="13"/>
      <c r="H42" s="13"/>
      <c r="I42" s="13"/>
      <c r="J42" s="13"/>
      <c r="K42" s="13"/>
    </row>
    <row r="43" spans="1:11" ht="26">
      <c r="A43" s="223"/>
      <c r="B43" s="13" t="s">
        <v>482</v>
      </c>
      <c r="C43" s="13"/>
      <c r="D43" s="13"/>
      <c r="E43" s="13"/>
      <c r="F43" s="13"/>
      <c r="G43" s="13"/>
      <c r="H43" s="13"/>
      <c r="I43" s="13"/>
      <c r="J43" s="13"/>
      <c r="K43" s="13"/>
    </row>
    <row r="44" spans="1:11" ht="26">
      <c r="A44" s="223"/>
      <c r="B44" s="425" t="s">
        <v>333</v>
      </c>
      <c r="C44" s="13"/>
      <c r="D44" s="13"/>
      <c r="E44" s="13"/>
      <c r="F44" s="13"/>
      <c r="G44" s="13"/>
      <c r="H44" s="13"/>
      <c r="I44" s="13"/>
      <c r="J44" s="13"/>
      <c r="K44" s="13"/>
    </row>
    <row r="45" spans="1:11" ht="26">
      <c r="A45" s="325"/>
      <c r="B45" s="32"/>
      <c r="C45" s="13"/>
      <c r="D45" s="13"/>
      <c r="E45" s="13"/>
      <c r="F45" s="13"/>
      <c r="G45" s="13"/>
      <c r="H45" s="13"/>
      <c r="I45" s="13"/>
      <c r="J45" s="13"/>
      <c r="K45" s="13"/>
    </row>
    <row r="46" spans="1:11" ht="26">
      <c r="A46" s="414" t="s">
        <v>497</v>
      </c>
      <c r="B46" s="415" t="s">
        <v>498</v>
      </c>
      <c r="C46" s="13"/>
      <c r="D46" s="13"/>
      <c r="E46" s="13"/>
      <c r="F46" s="13"/>
      <c r="G46" s="13"/>
      <c r="H46" s="13"/>
      <c r="I46" s="13"/>
      <c r="J46" s="13"/>
      <c r="K46" s="13"/>
    </row>
    <row r="47" spans="1:11" ht="26">
      <c r="A47" s="414" t="s">
        <v>499</v>
      </c>
      <c r="B47" s="425" t="s">
        <v>500</v>
      </c>
      <c r="C47" s="13"/>
      <c r="D47" s="13"/>
      <c r="E47" s="13"/>
      <c r="F47" s="13"/>
      <c r="G47" s="13"/>
      <c r="H47" s="13"/>
      <c r="I47" s="13"/>
      <c r="J47" s="13"/>
      <c r="K47" s="13"/>
    </row>
    <row r="48" spans="1:11" ht="26">
      <c r="A48" s="223" t="s">
        <v>0</v>
      </c>
      <c r="C48" s="13"/>
      <c r="D48" s="13"/>
      <c r="E48" s="13"/>
      <c r="F48" s="13"/>
      <c r="G48" s="13"/>
      <c r="H48" s="13"/>
      <c r="I48" s="13"/>
      <c r="J48" s="13"/>
      <c r="K48" s="13"/>
    </row>
    <row r="49" spans="1:11" ht="21">
      <c r="A49" s="324" t="s">
        <v>286</v>
      </c>
      <c r="C49" s="13"/>
      <c r="D49" s="13"/>
      <c r="E49" s="13"/>
      <c r="F49" s="13"/>
      <c r="G49" s="13"/>
      <c r="H49" s="13"/>
      <c r="I49" s="13"/>
      <c r="J49" s="13"/>
      <c r="K49" s="13"/>
    </row>
    <row r="50" spans="1:11" ht="21">
      <c r="A50" s="32" t="s">
        <v>287</v>
      </c>
      <c r="B50" s="13"/>
      <c r="C50" s="13"/>
      <c r="D50" s="13"/>
      <c r="E50" s="13"/>
      <c r="H50" s="13"/>
      <c r="I50" s="13"/>
      <c r="J50" s="13"/>
      <c r="K50" s="13"/>
    </row>
    <row r="51" spans="1:11" ht="17">
      <c r="A51" s="425" t="s">
        <v>288</v>
      </c>
      <c r="B51" s="13"/>
      <c r="C51" s="13"/>
      <c r="D51" s="13"/>
      <c r="E51" s="13"/>
      <c r="F51" s="13"/>
      <c r="G51" s="13"/>
      <c r="H51" s="13"/>
      <c r="I51" s="13"/>
      <c r="J51" s="13"/>
      <c r="K51" s="13"/>
    </row>
    <row r="52" spans="1:11" ht="17">
      <c r="A52" s="154"/>
      <c r="B52" s="13"/>
      <c r="C52" s="13"/>
      <c r="D52" s="13"/>
      <c r="E52" s="13"/>
      <c r="F52" s="13"/>
      <c r="G52" s="13" t="s">
        <v>0</v>
      </c>
      <c r="H52" s="13" t="s">
        <v>0</v>
      </c>
      <c r="I52" s="13"/>
      <c r="J52" s="13"/>
      <c r="K52" s="13"/>
    </row>
    <row r="53" spans="1:11" ht="17">
      <c r="A53" s="13"/>
      <c r="B53" s="13"/>
      <c r="C53" s="13"/>
      <c r="D53" s="13"/>
      <c r="E53" s="13"/>
      <c r="F53" s="13"/>
      <c r="G53" s="13" t="s">
        <v>0</v>
      </c>
      <c r="H53" s="13"/>
      <c r="I53" s="13"/>
      <c r="J53" s="13"/>
      <c r="K53" s="13"/>
    </row>
    <row r="54" spans="1:11" ht="17.5" thickBot="1">
      <c r="A54" s="13"/>
      <c r="B54" s="13"/>
      <c r="C54" s="13"/>
      <c r="D54" s="13"/>
      <c r="E54" s="13"/>
      <c r="F54" s="13"/>
      <c r="G54" s="13" t="s">
        <v>0</v>
      </c>
      <c r="H54" s="13"/>
      <c r="I54" s="13"/>
      <c r="J54" s="13"/>
      <c r="K54" s="13"/>
    </row>
    <row r="55" spans="1:11" ht="18.75" customHeight="1" thickBot="1">
      <c r="A55" s="170" t="s">
        <v>272</v>
      </c>
      <c r="B55" s="45" t="s">
        <v>398</v>
      </c>
      <c r="C55" s="13"/>
      <c r="D55" s="13"/>
      <c r="E55" s="13"/>
      <c r="F55" s="13"/>
      <c r="G55" s="13"/>
      <c r="H55" s="13"/>
      <c r="I55" s="427" t="s">
        <v>532</v>
      </c>
      <c r="J55" s="13"/>
      <c r="K55" s="13"/>
    </row>
    <row r="56" spans="1:11" ht="15" customHeight="1">
      <c r="A56" s="13"/>
      <c r="B56" s="13"/>
      <c r="C56" s="13"/>
      <c r="D56" s="13"/>
      <c r="E56" s="13"/>
      <c r="F56" s="13"/>
      <c r="G56" s="416" t="s">
        <v>504</v>
      </c>
      <c r="H56" s="417" t="s">
        <v>505</v>
      </c>
      <c r="I56" s="428">
        <v>1.76</v>
      </c>
      <c r="J56" s="13"/>
      <c r="K56" s="13"/>
    </row>
    <row r="57" spans="1:11" ht="23.25" customHeight="1">
      <c r="A57" s="325">
        <v>2.2100000000000002E-2</v>
      </c>
      <c r="B57" s="32" t="s">
        <v>399</v>
      </c>
      <c r="C57" s="13"/>
      <c r="E57" s="13"/>
      <c r="G57" s="418" t="s">
        <v>506</v>
      </c>
      <c r="H57" s="419" t="s">
        <v>507</v>
      </c>
      <c r="I57" s="428">
        <v>1.74</v>
      </c>
      <c r="J57" s="13"/>
      <c r="K57" s="13"/>
    </row>
    <row r="58" spans="1:11" ht="23.25" customHeight="1">
      <c r="A58" s="325">
        <v>2.41E-2</v>
      </c>
      <c r="B58" s="32" t="s">
        <v>400</v>
      </c>
      <c r="C58" s="13"/>
      <c r="E58" s="13"/>
      <c r="G58" s="418" t="s">
        <v>508</v>
      </c>
      <c r="H58" s="419" t="s">
        <v>509</v>
      </c>
      <c r="I58" s="428">
        <v>1.84</v>
      </c>
      <c r="J58" s="13"/>
      <c r="K58" s="13"/>
    </row>
    <row r="59" spans="1:11" ht="23.25" customHeight="1">
      <c r="A59" s="325">
        <v>2.1700000000000001E-2</v>
      </c>
      <c r="B59" s="32" t="s">
        <v>401</v>
      </c>
      <c r="C59" s="13"/>
      <c r="D59" s="13"/>
      <c r="E59" s="13"/>
      <c r="G59" s="420" t="s">
        <v>510</v>
      </c>
      <c r="H59" s="421" t="s">
        <v>511</v>
      </c>
      <c r="I59" s="429">
        <v>1.91</v>
      </c>
      <c r="J59" s="13"/>
      <c r="K59" s="13"/>
    </row>
    <row r="60" spans="1:11" ht="23.25" customHeight="1">
      <c r="A60" s="325"/>
      <c r="B60" s="32"/>
      <c r="C60" s="13"/>
      <c r="D60" s="13"/>
      <c r="E60" s="13"/>
      <c r="G60" s="15"/>
      <c r="H60" s="155"/>
      <c r="I60" s="13"/>
      <c r="J60" s="13"/>
      <c r="K60" s="13"/>
    </row>
    <row r="61" spans="1:11" ht="23.25" customHeight="1">
      <c r="A61" s="326" t="s">
        <v>483</v>
      </c>
      <c r="B61" s="32"/>
      <c r="C61" s="13"/>
      <c r="D61" s="13"/>
      <c r="E61" s="13"/>
      <c r="F61" s="320"/>
      <c r="G61" s="88"/>
      <c r="H61" s="13"/>
      <c r="I61" s="13"/>
      <c r="J61" s="13"/>
      <c r="K61" s="13"/>
    </row>
    <row r="62" spans="1:11" ht="23.25" customHeight="1">
      <c r="A62" s="325"/>
      <c r="B62" s="32"/>
      <c r="C62" s="13"/>
      <c r="D62" s="13"/>
      <c r="E62" s="13"/>
      <c r="F62" s="320"/>
      <c r="G62" s="88"/>
      <c r="H62" s="13"/>
      <c r="I62" s="13"/>
      <c r="J62" s="13"/>
      <c r="K62" s="13"/>
    </row>
    <row r="63" spans="1:11" ht="23.25" customHeight="1">
      <c r="A63" s="325">
        <v>2.3E-2</v>
      </c>
      <c r="B63" s="32" t="s">
        <v>501</v>
      </c>
      <c r="C63" s="13"/>
      <c r="D63" s="13"/>
      <c r="E63" s="13"/>
      <c r="F63" s="13"/>
      <c r="G63" s="13"/>
      <c r="H63" s="13"/>
      <c r="I63" s="13"/>
      <c r="J63" s="13"/>
      <c r="K63" s="13"/>
    </row>
    <row r="64" spans="1:11" ht="23.25" customHeight="1">
      <c r="A64" s="325">
        <v>2.2599999999999999E-2</v>
      </c>
      <c r="B64" s="32" t="s">
        <v>502</v>
      </c>
      <c r="C64" s="13"/>
      <c r="D64" s="13"/>
      <c r="E64" s="13"/>
      <c r="F64" s="13"/>
      <c r="G64" s="13"/>
      <c r="H64" s="13"/>
      <c r="I64" s="13"/>
      <c r="J64" s="13"/>
      <c r="K64" s="13"/>
    </row>
    <row r="65" spans="1:11" ht="23.25" customHeight="1">
      <c r="A65" s="325">
        <v>2.24E-2</v>
      </c>
      <c r="B65" s="32" t="s">
        <v>280</v>
      </c>
      <c r="C65" s="13"/>
      <c r="D65" s="13"/>
      <c r="E65" s="13"/>
      <c r="F65" s="13"/>
      <c r="G65" s="13"/>
      <c r="H65" s="13"/>
      <c r="I65" s="13"/>
      <c r="J65" s="13"/>
      <c r="K65" s="13"/>
    </row>
    <row r="66" spans="1:11" ht="24" customHeight="1">
      <c r="A66" s="325">
        <v>2.1999999999999999E-2</v>
      </c>
      <c r="B66" s="32" t="s">
        <v>503</v>
      </c>
      <c r="C66" s="13"/>
      <c r="D66" s="13"/>
      <c r="E66" s="13"/>
      <c r="F66" s="13"/>
      <c r="G66" s="13"/>
      <c r="H66" s="13"/>
      <c r="I66" s="13"/>
      <c r="J66" s="13"/>
      <c r="K66" s="13"/>
    </row>
    <row r="67" spans="1:11" ht="24" customHeight="1">
      <c r="A67" s="325">
        <v>0.02</v>
      </c>
      <c r="B67" s="32" t="s">
        <v>278</v>
      </c>
      <c r="C67" s="13"/>
      <c r="D67" s="13"/>
      <c r="E67" s="13"/>
      <c r="F67" s="13"/>
      <c r="G67" s="13"/>
      <c r="H67" s="13"/>
      <c r="I67" s="13"/>
      <c r="J67" s="13"/>
      <c r="K67" s="13"/>
    </row>
    <row r="68" spans="1:11" ht="27" customHeight="1">
      <c r="B68" s="13" t="s">
        <v>0</v>
      </c>
      <c r="C68" s="13"/>
      <c r="D68" s="13"/>
      <c r="E68" s="13"/>
      <c r="F68" s="13"/>
      <c r="G68" s="13"/>
      <c r="H68" s="13"/>
      <c r="I68" s="13"/>
      <c r="J68" s="13"/>
      <c r="K68" s="13"/>
    </row>
    <row r="69" spans="1:11" ht="20.25" customHeight="1">
      <c r="A69" s="13"/>
      <c r="B69" s="13"/>
      <c r="C69" s="13"/>
      <c r="D69" s="13"/>
      <c r="E69" s="13"/>
      <c r="F69" s="13"/>
      <c r="G69" s="13"/>
      <c r="H69" s="13"/>
      <c r="I69" s="13"/>
      <c r="J69" s="13"/>
      <c r="K69" s="13"/>
    </row>
    <row r="70" spans="1:11" ht="18.75" customHeight="1" thickBot="1">
      <c r="B70" s="13"/>
      <c r="C70" s="13"/>
      <c r="D70" s="30"/>
      <c r="E70" s="30"/>
      <c r="F70" s="30"/>
      <c r="G70" s="13"/>
      <c r="H70" s="13"/>
      <c r="I70" s="13"/>
      <c r="J70" s="13"/>
      <c r="K70" s="13"/>
    </row>
    <row r="71" spans="1:11" ht="18.75" customHeight="1">
      <c r="B71" s="32"/>
      <c r="C71" s="32"/>
      <c r="D71" s="13"/>
      <c r="E71" s="33" t="s">
        <v>234</v>
      </c>
      <c r="F71" s="13"/>
      <c r="G71" s="13"/>
      <c r="H71" s="13"/>
      <c r="I71" s="13"/>
      <c r="J71" s="13"/>
      <c r="K71" s="13"/>
    </row>
    <row r="72" spans="1:11" ht="15" customHeight="1" thickBot="1">
      <c r="A72" s="157"/>
      <c r="B72" s="32"/>
      <c r="C72" s="32"/>
      <c r="D72" s="30"/>
      <c r="E72" s="38" t="s">
        <v>93</v>
      </c>
      <c r="F72" s="30"/>
      <c r="G72" s="13"/>
      <c r="H72" s="13"/>
      <c r="I72" s="13"/>
      <c r="J72" s="13"/>
      <c r="K72" s="13"/>
    </row>
    <row r="73" spans="1:11" ht="21" customHeight="1" thickBot="1">
      <c r="A73" s="156" t="s">
        <v>235</v>
      </c>
      <c r="B73" s="32"/>
      <c r="C73" s="32"/>
      <c r="D73" s="36"/>
      <c r="E73" s="153"/>
      <c r="F73" s="13"/>
      <c r="G73" s="13"/>
      <c r="H73" s="13"/>
      <c r="I73" s="13"/>
      <c r="J73" s="13"/>
      <c r="K73" s="13"/>
    </row>
    <row r="74" spans="1:11" ht="15" customHeight="1">
      <c r="A74" s="40" t="s">
        <v>0</v>
      </c>
      <c r="B74" s="40"/>
      <c r="C74" s="40"/>
      <c r="D74" s="42" t="s">
        <v>0</v>
      </c>
      <c r="E74" s="42" t="s">
        <v>0</v>
      </c>
      <c r="F74" s="42" t="s">
        <v>0</v>
      </c>
      <c r="G74" s="42"/>
      <c r="H74" s="13"/>
      <c r="I74" s="13"/>
    </row>
    <row r="75" spans="1:11" ht="17">
      <c r="A75" s="36" t="s">
        <v>0</v>
      </c>
      <c r="B75" s="36"/>
      <c r="C75" s="36"/>
      <c r="D75" s="187" t="s">
        <v>97</v>
      </c>
      <c r="E75" s="187" t="s">
        <v>277</v>
      </c>
      <c r="F75" s="187" t="s">
        <v>146</v>
      </c>
      <c r="G75" s="267"/>
      <c r="H75" s="13"/>
      <c r="I75" s="13"/>
    </row>
    <row r="76" spans="1:11" ht="17">
      <c r="A76" s="129" t="s">
        <v>144</v>
      </c>
      <c r="B76" s="129"/>
      <c r="C76" s="129"/>
      <c r="D76" s="188" t="s">
        <v>99</v>
      </c>
      <c r="E76" s="188" t="s">
        <v>145</v>
      </c>
      <c r="F76" s="188" t="s">
        <v>147</v>
      </c>
      <c r="G76" s="267"/>
      <c r="H76" s="13"/>
      <c r="I76" s="13"/>
    </row>
    <row r="77" spans="1:11" ht="15.75" customHeight="1"/>
    <row r="78" spans="1:11" ht="15.75" customHeight="1"/>
    <row r="79" spans="1:11" ht="15.75" customHeight="1">
      <c r="A79" s="173" t="s">
        <v>281</v>
      </c>
      <c r="B79" s="174"/>
      <c r="C79" s="218"/>
      <c r="D79" s="182">
        <f>+A57</f>
        <v>2.2100000000000002E-2</v>
      </c>
      <c r="E79" s="182">
        <v>1.7399999999999999E-2</v>
      </c>
      <c r="F79" s="175">
        <f t="shared" ref="F79:F86" si="0">+D79+E79</f>
        <v>3.95E-2</v>
      </c>
      <c r="G79" s="268"/>
      <c r="H79" s="13"/>
      <c r="I79" s="13"/>
    </row>
    <row r="80" spans="1:11" ht="15.75" customHeight="1">
      <c r="A80" s="176" t="s">
        <v>282</v>
      </c>
      <c r="B80" s="65"/>
      <c r="C80" s="219"/>
      <c r="D80" s="327">
        <f>+A58</f>
        <v>2.41E-2</v>
      </c>
      <c r="E80" s="327">
        <v>1.84E-2</v>
      </c>
      <c r="F80" s="177">
        <f t="shared" si="0"/>
        <v>4.2499999999999996E-2</v>
      </c>
      <c r="G80" s="268"/>
      <c r="H80" s="13"/>
      <c r="I80" s="13"/>
    </row>
    <row r="81" spans="1:9" ht="15.75" customHeight="1">
      <c r="A81" s="178" t="s">
        <v>283</v>
      </c>
      <c r="B81" s="179"/>
      <c r="C81" s="220"/>
      <c r="D81" s="183">
        <f>+A59</f>
        <v>2.1700000000000001E-2</v>
      </c>
      <c r="E81" s="183">
        <v>1.9099999999999999E-2</v>
      </c>
      <c r="F81" s="180">
        <f t="shared" si="0"/>
        <v>4.0800000000000003E-2</v>
      </c>
      <c r="G81" s="268"/>
      <c r="H81" s="13"/>
      <c r="I81" s="13"/>
    </row>
    <row r="82" spans="1:9" ht="15.75" customHeight="1">
      <c r="A82" s="176" t="s">
        <v>284</v>
      </c>
      <c r="B82" s="65"/>
      <c r="C82" s="219"/>
      <c r="D82" s="327">
        <f t="shared" ref="D82:D84" si="1">+A63</f>
        <v>2.3E-2</v>
      </c>
      <c r="E82" s="327">
        <v>0.02</v>
      </c>
      <c r="F82" s="177">
        <f t="shared" si="0"/>
        <v>4.2999999999999997E-2</v>
      </c>
      <c r="G82" s="268"/>
      <c r="H82" s="13"/>
      <c r="I82" s="13"/>
    </row>
    <row r="83" spans="1:9" ht="15.75" customHeight="1">
      <c r="A83" s="176" t="s">
        <v>285</v>
      </c>
      <c r="B83" s="65"/>
      <c r="C83" s="219"/>
      <c r="D83" s="327">
        <f t="shared" si="1"/>
        <v>2.2599999999999999E-2</v>
      </c>
      <c r="E83" s="327">
        <v>1.9E-2</v>
      </c>
      <c r="F83" s="177">
        <f t="shared" si="0"/>
        <v>4.1599999999999998E-2</v>
      </c>
      <c r="G83" s="268"/>
      <c r="H83" s="13"/>
      <c r="I83" s="13"/>
    </row>
    <row r="84" spans="1:9" ht="15.75" customHeight="1">
      <c r="A84" s="176" t="s">
        <v>449</v>
      </c>
      <c r="B84" s="65"/>
      <c r="C84" s="219"/>
      <c r="D84" s="327">
        <f t="shared" si="1"/>
        <v>2.24E-2</v>
      </c>
      <c r="E84" s="327">
        <v>0.02</v>
      </c>
      <c r="F84" s="177">
        <f t="shared" si="0"/>
        <v>4.24E-2</v>
      </c>
      <c r="G84" s="268"/>
      <c r="H84" s="13"/>
      <c r="I84" s="13"/>
    </row>
    <row r="85" spans="1:9" ht="15.75" customHeight="1">
      <c r="A85" s="176" t="s">
        <v>484</v>
      </c>
      <c r="B85" s="65"/>
      <c r="C85" s="219"/>
      <c r="D85" s="327">
        <f>+A66</f>
        <v>2.1999999999999999E-2</v>
      </c>
      <c r="E85" s="327">
        <v>1.9E-2</v>
      </c>
      <c r="F85" s="177">
        <f t="shared" si="0"/>
        <v>4.0999999999999995E-2</v>
      </c>
      <c r="G85" s="268"/>
      <c r="H85" s="13"/>
      <c r="I85" s="13"/>
    </row>
    <row r="86" spans="1:9" ht="15.75" customHeight="1">
      <c r="A86" s="178" t="s">
        <v>279</v>
      </c>
      <c r="B86" s="179"/>
      <c r="C86" s="220"/>
      <c r="D86" s="183">
        <f>+A67</f>
        <v>0.02</v>
      </c>
      <c r="E86" s="183">
        <v>1.7999999999999999E-2</v>
      </c>
      <c r="F86" s="180">
        <f t="shared" si="0"/>
        <v>3.7999999999999999E-2</v>
      </c>
      <c r="G86" s="268"/>
      <c r="H86" s="13"/>
      <c r="I86" s="13"/>
    </row>
    <row r="87" spans="1:9" ht="15.75" customHeight="1">
      <c r="A87" s="113"/>
      <c r="B87" s="123"/>
      <c r="C87" s="123" t="s">
        <v>56</v>
      </c>
      <c r="D87" s="181">
        <f>MAX(D79:D86)</f>
        <v>2.41E-2</v>
      </c>
      <c r="E87" s="181">
        <v>1.9699999999999999E-2</v>
      </c>
      <c r="F87" s="181">
        <v>4.5199999999999997E-2</v>
      </c>
      <c r="G87" s="269"/>
      <c r="H87" s="13"/>
      <c r="I87" s="13"/>
    </row>
    <row r="88" spans="1:9" ht="15.75" customHeight="1">
      <c r="A88" s="113"/>
      <c r="B88" s="123"/>
      <c r="C88" s="123" t="s">
        <v>57</v>
      </c>
      <c r="D88" s="181">
        <f>MIN(D79:D86)</f>
        <v>0.02</v>
      </c>
      <c r="E88" s="181">
        <v>1.5800000000000002E-2</v>
      </c>
      <c r="F88" s="230">
        <v>3.6999999999999998E-2</v>
      </c>
      <c r="G88" s="269"/>
      <c r="H88" s="13"/>
      <c r="I88" s="13"/>
    </row>
    <row r="89" spans="1:9" ht="17.25" customHeight="1">
      <c r="A89" s="113"/>
      <c r="B89" s="123"/>
      <c r="C89" s="123" t="s">
        <v>18</v>
      </c>
      <c r="D89" s="182">
        <f>MEDIAN(D79:D86)</f>
        <v>2.2249999999999999E-2</v>
      </c>
      <c r="E89" s="182">
        <f>MEDIAN(E79:E86)</f>
        <v>1.9E-2</v>
      </c>
      <c r="F89" s="177">
        <f t="shared" ref="F89:F90" si="2">+D89+E89</f>
        <v>4.1249999999999995E-2</v>
      </c>
      <c r="G89" s="268"/>
      <c r="H89" s="13"/>
      <c r="I89" s="13"/>
    </row>
    <row r="90" spans="1:9" ht="21" customHeight="1">
      <c r="A90" s="113"/>
      <c r="B90" s="123"/>
      <c r="C90" s="123" t="s">
        <v>19</v>
      </c>
      <c r="D90" s="183">
        <f>AVERAGE(D79:D86)</f>
        <v>2.2237499999999997E-2</v>
      </c>
      <c r="E90" s="183">
        <f>AVERAGE(E79:E86)</f>
        <v>1.8862499999999997E-2</v>
      </c>
      <c r="F90" s="180">
        <f t="shared" si="2"/>
        <v>4.1099999999999998E-2</v>
      </c>
      <c r="G90" s="268"/>
      <c r="H90" s="13"/>
      <c r="I90" s="13"/>
    </row>
    <row r="91" spans="1:9" ht="21" customHeight="1">
      <c r="A91" s="13"/>
      <c r="B91" s="15"/>
    </row>
    <row r="92" spans="1:9" ht="21" customHeight="1" thickBot="1">
      <c r="A92" s="13"/>
      <c r="B92" s="15"/>
    </row>
    <row r="93" spans="1:9" ht="24" customHeight="1" thickBot="1">
      <c r="A93" s="13"/>
      <c r="B93" s="130"/>
      <c r="C93" s="51" t="s">
        <v>236</v>
      </c>
      <c r="D93" s="422">
        <v>2.2200000000000001E-2</v>
      </c>
      <c r="E93" s="422">
        <v>1.89E-2</v>
      </c>
      <c r="F93" s="328">
        <f>+D93+E93</f>
        <v>4.1099999999999998E-2</v>
      </c>
    </row>
    <row r="94" spans="1:9" ht="22.5" customHeight="1">
      <c r="A94" s="13"/>
      <c r="B94" s="13"/>
      <c r="C94" s="13"/>
      <c r="D94" s="13"/>
      <c r="E94" s="13"/>
      <c r="F94" s="13"/>
      <c r="G94" s="13"/>
      <c r="I94" s="13"/>
    </row>
    <row r="95" spans="1:9" ht="15" customHeight="1">
      <c r="A95" s="13"/>
      <c r="B95" s="13"/>
      <c r="C95" s="13"/>
      <c r="D95" s="13"/>
      <c r="E95" s="13"/>
      <c r="F95" s="13"/>
      <c r="G95" s="13"/>
      <c r="I95" s="13" t="s">
        <v>0</v>
      </c>
    </row>
    <row r="96" spans="1:9" ht="16.5" customHeight="1">
      <c r="A96" s="13"/>
      <c r="B96" s="13"/>
      <c r="C96" s="13"/>
      <c r="D96" s="13"/>
      <c r="E96" s="13"/>
      <c r="F96" s="13"/>
      <c r="G96" s="13"/>
      <c r="H96" s="13"/>
      <c r="I96" s="13"/>
    </row>
    <row r="97" spans="1:9" ht="15" customHeight="1">
      <c r="A97" s="131" t="s">
        <v>167</v>
      </c>
      <c r="B97" s="132"/>
      <c r="C97" s="132"/>
      <c r="D97" s="132"/>
      <c r="E97" s="133"/>
      <c r="F97" s="132"/>
      <c r="G97" s="132"/>
      <c r="H97" s="132"/>
      <c r="I97" s="13"/>
    </row>
    <row r="98" spans="1:9" ht="15" customHeight="1">
      <c r="A98" s="474" t="s">
        <v>512</v>
      </c>
      <c r="B98" s="474"/>
      <c r="C98" s="474"/>
      <c r="D98" s="474"/>
      <c r="E98" s="474"/>
      <c r="F98" s="474"/>
      <c r="G98" s="474"/>
      <c r="H98" s="474"/>
      <c r="I98" s="13"/>
    </row>
    <row r="99" spans="1:9" ht="15" customHeight="1">
      <c r="A99" s="425" t="s">
        <v>397</v>
      </c>
      <c r="B99" s="132"/>
      <c r="C99" s="425" t="s">
        <v>0</v>
      </c>
      <c r="D99" s="132"/>
      <c r="E99" s="133"/>
      <c r="F99" s="132"/>
      <c r="G99" s="132"/>
      <c r="H99" s="132"/>
      <c r="I99" s="13"/>
    </row>
    <row r="100" spans="1:9" ht="15" customHeight="1">
      <c r="A100" s="131"/>
      <c r="B100" s="132"/>
      <c r="C100" s="132"/>
      <c r="D100" s="132"/>
      <c r="E100" s="133"/>
      <c r="F100" s="132"/>
      <c r="G100" s="132"/>
      <c r="H100" s="132"/>
      <c r="I100" s="13"/>
    </row>
    <row r="101" spans="1:9" ht="15" customHeight="1">
      <c r="A101" s="474" t="s">
        <v>513</v>
      </c>
      <c r="B101" s="474"/>
      <c r="C101" s="474"/>
      <c r="D101" s="474"/>
      <c r="E101" s="474"/>
      <c r="F101" s="474"/>
      <c r="G101" s="474"/>
      <c r="H101" s="474"/>
      <c r="I101" s="13"/>
    </row>
    <row r="102" spans="1:9" ht="15" customHeight="1">
      <c r="A102" s="134" t="s">
        <v>168</v>
      </c>
      <c r="B102" s="135"/>
      <c r="C102" s="135" t="s">
        <v>0</v>
      </c>
      <c r="D102" s="135"/>
      <c r="E102" s="135"/>
      <c r="F102" s="135"/>
      <c r="G102" s="135"/>
      <c r="H102" s="132"/>
      <c r="I102" s="13"/>
    </row>
    <row r="103" spans="1:9" ht="15" customHeight="1">
      <c r="A103" s="134"/>
      <c r="B103" s="135"/>
      <c r="C103" s="135"/>
      <c r="D103" s="135"/>
      <c r="E103" s="135"/>
      <c r="F103" s="135"/>
      <c r="G103" s="135"/>
      <c r="H103" s="132"/>
      <c r="I103" s="13"/>
    </row>
    <row r="104" spans="1:9" ht="15" customHeight="1">
      <c r="A104" s="474" t="s">
        <v>514</v>
      </c>
      <c r="B104" s="474"/>
      <c r="C104" s="474"/>
      <c r="D104" s="474"/>
      <c r="E104" s="474"/>
      <c r="F104" s="474"/>
      <c r="G104" s="474"/>
      <c r="H104" s="474"/>
      <c r="I104" s="13"/>
    </row>
    <row r="105" spans="1:9" ht="15" customHeight="1">
      <c r="A105" s="134" t="s">
        <v>168</v>
      </c>
      <c r="B105" s="135"/>
      <c r="C105" s="135" t="s">
        <v>0</v>
      </c>
      <c r="D105" s="135"/>
      <c r="E105" s="135"/>
      <c r="F105" s="135"/>
      <c r="G105" s="135"/>
      <c r="H105" s="132"/>
      <c r="I105" s="13"/>
    </row>
    <row r="106" spans="1:9" ht="15" customHeight="1">
      <c r="A106" s="134"/>
      <c r="B106" s="135"/>
      <c r="C106" s="135"/>
      <c r="D106" s="135"/>
      <c r="E106" s="135"/>
      <c r="F106" s="135"/>
      <c r="G106" s="135"/>
      <c r="H106" s="132"/>
      <c r="I106" s="13"/>
    </row>
    <row r="107" spans="1:9" ht="15" customHeight="1">
      <c r="A107" s="474" t="s">
        <v>515</v>
      </c>
      <c r="B107" s="474"/>
      <c r="C107" s="474"/>
      <c r="D107" s="474"/>
      <c r="E107" s="474"/>
      <c r="F107" s="474"/>
      <c r="G107" s="474"/>
      <c r="H107" s="474"/>
      <c r="I107" s="13"/>
    </row>
    <row r="108" spans="1:9" ht="15" customHeight="1">
      <c r="A108" s="426" t="s">
        <v>169</v>
      </c>
      <c r="B108" s="135"/>
      <c r="C108" s="135"/>
      <c r="D108" s="13"/>
      <c r="E108" s="135"/>
      <c r="F108" s="135"/>
      <c r="G108" s="135"/>
      <c r="H108" s="132"/>
      <c r="I108" s="13"/>
    </row>
    <row r="109" spans="1:9" ht="15" customHeight="1">
      <c r="A109" s="425" t="s">
        <v>516</v>
      </c>
      <c r="B109" s="135"/>
      <c r="C109" s="135"/>
      <c r="D109" s="135"/>
      <c r="E109" s="135"/>
      <c r="F109" s="135"/>
      <c r="G109" s="135"/>
      <c r="H109" s="132"/>
      <c r="I109" s="13"/>
    </row>
    <row r="110" spans="1:9" ht="15" customHeight="1">
      <c r="A110" s="425"/>
      <c r="B110" s="135"/>
      <c r="C110" s="135"/>
      <c r="D110" s="135"/>
      <c r="E110" s="135"/>
      <c r="F110" s="135"/>
      <c r="G110" s="135"/>
      <c r="H110" s="132"/>
      <c r="I110" s="13"/>
    </row>
    <row r="111" spans="1:9" ht="15" customHeight="1">
      <c r="A111" s="136" t="s">
        <v>517</v>
      </c>
      <c r="B111" s="136"/>
      <c r="C111" s="136"/>
      <c r="D111" s="136"/>
      <c r="E111" s="136"/>
      <c r="F111" s="136"/>
      <c r="G111" s="136"/>
      <c r="H111" s="132"/>
      <c r="I111" s="13"/>
    </row>
    <row r="112" spans="1:9" ht="15" customHeight="1">
      <c r="A112" s="426" t="s">
        <v>170</v>
      </c>
      <c r="B112" s="135"/>
      <c r="C112" s="13"/>
      <c r="D112" s="135"/>
      <c r="E112" s="13"/>
      <c r="F112" s="135"/>
      <c r="G112" s="135"/>
      <c r="H112" s="132"/>
      <c r="I112" s="13"/>
    </row>
    <row r="113" spans="1:9" ht="17">
      <c r="A113" s="425" t="s">
        <v>485</v>
      </c>
      <c r="B113" s="135"/>
      <c r="C113" s="425"/>
      <c r="D113" s="135"/>
      <c r="E113" s="13"/>
      <c r="F113" s="135"/>
      <c r="G113" s="135"/>
      <c r="H113" s="132"/>
      <c r="I113" s="13"/>
    </row>
    <row r="114" spans="1:9" ht="17">
      <c r="A114" s="432" t="s">
        <v>518</v>
      </c>
      <c r="B114" s="425" t="s">
        <v>500</v>
      </c>
      <c r="C114" s="137"/>
      <c r="D114" s="137"/>
      <c r="E114" s="137"/>
      <c r="F114" s="137"/>
      <c r="G114" s="137"/>
      <c r="H114" s="138"/>
    </row>
    <row r="115" spans="1:9" ht="17">
      <c r="A115" s="13"/>
      <c r="B115" s="425"/>
      <c r="C115" s="137"/>
      <c r="D115" s="137"/>
      <c r="E115" s="137"/>
      <c r="F115" s="137"/>
      <c r="G115" s="137"/>
      <c r="H115" s="138"/>
    </row>
    <row r="116" spans="1:9" ht="17">
      <c r="A116" s="136" t="s">
        <v>519</v>
      </c>
      <c r="B116" s="13"/>
      <c r="C116" s="13"/>
      <c r="D116" s="13"/>
      <c r="E116" s="13"/>
      <c r="F116" s="13"/>
      <c r="G116" s="13"/>
      <c r="H116" s="13"/>
    </row>
    <row r="117" spans="1:9" ht="17">
      <c r="A117" s="425" t="s">
        <v>494</v>
      </c>
      <c r="B117" s="13"/>
      <c r="C117" s="425" t="s">
        <v>0</v>
      </c>
      <c r="D117" s="13"/>
      <c r="E117" s="13"/>
      <c r="F117" s="13"/>
      <c r="G117" s="13"/>
      <c r="H117" s="13"/>
    </row>
    <row r="118" spans="1:9" ht="17">
      <c r="A118" s="13"/>
      <c r="B118" s="13"/>
      <c r="C118" s="13"/>
      <c r="D118" s="13"/>
      <c r="E118" s="13"/>
      <c r="F118" s="13"/>
      <c r="G118" s="13"/>
      <c r="H118" s="13"/>
    </row>
  </sheetData>
  <mergeCells count="4">
    <mergeCell ref="A107:H107"/>
    <mergeCell ref="A98:H98"/>
    <mergeCell ref="A101:H101"/>
    <mergeCell ref="A104:H104"/>
  </mergeCells>
  <hyperlinks>
    <hyperlink ref="A51" r:id="rId1" xr:uid="{EDF7F72B-12C6-4281-9172-100C10052729}"/>
    <hyperlink ref="B35" r:id="rId2" xr:uid="{E0AB444F-69D3-47E8-87A3-8FC834FF184D}"/>
    <hyperlink ref="B41" r:id="rId3" xr:uid="{7CED6E7F-F85F-4514-9D1E-AB71E2098FD9}"/>
    <hyperlink ref="B47" r:id="rId4" xr:uid="{D0E3250D-562C-4105-81FC-424365C4A0D3}"/>
    <hyperlink ref="A102" r:id="rId5" xr:uid="{C730B704-8DD9-4681-8923-DD59895ECA9E}"/>
    <hyperlink ref="A112" r:id="rId6" location="4" xr:uid="{03C5F1A7-7C6F-4B9D-97CF-8541FBC1E132}"/>
    <hyperlink ref="A108" r:id="rId7" xr:uid="{75211FA1-F777-48BB-8C2D-0BA1F949DE5F}"/>
    <hyperlink ref="A105" r:id="rId8" xr:uid="{5D87F7A1-E59F-435B-AA6D-9EE81149A909}"/>
    <hyperlink ref="A99" r:id="rId9" xr:uid="{E82FB28E-D0A7-42CE-BFA2-E4C5ECAA9C38}"/>
    <hyperlink ref="C99" r:id="rId10" display="https://www.federalreserve.gov/datadownload/Preview.aspx?pi=400&amp;rel=H15&amp;preview=%20H15/H15/RIFLGFCY05_N.WF" xr:uid="{0AB967CC-8268-48F9-95A6-31D94B154416}"/>
    <hyperlink ref="A113" r:id="rId11" xr:uid="{D3B3F05B-6FB8-44DC-801E-B9CEA4A62340}"/>
    <hyperlink ref="C117" r:id="rId12" display="https://www.federalreserve.gov/monetarypolicy/files/fomcprojtabl20231213.pdf" xr:uid="{CE639A08-8322-4B85-A491-0A5F540C4A2C}"/>
    <hyperlink ref="A117" r:id="rId13" xr:uid="{AF506CA1-D132-4959-B2DF-881CABA9F1EF}"/>
    <hyperlink ref="A109" r:id="rId14" display="https://www.philadelphiafed.org/-/media/frbp/assets/surveys-and-data/survey-of-professional-forecasters/2024/spfq124.pdf" xr:uid="{4AF80C30-92FB-4907-B965-9EA37437BF34}"/>
    <hyperlink ref="B114" r:id="rId15" xr:uid="{299C9E7E-3128-4C17-A82A-8BB1F52BBFCB}"/>
  </hyperlinks>
  <pageMargins left="0.25" right="0.25" top="0.75" bottom="0.75" header="0.3" footer="0.3"/>
  <pageSetup scale="29"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E6309-BD0A-46E7-99FD-8E3581EFB633}">
  <sheetPr>
    <tabColor rgb="FF92D050"/>
    <pageSetUpPr fitToPage="1"/>
  </sheetPr>
  <dimension ref="A1:I104"/>
  <sheetViews>
    <sheetView view="pageBreakPreview" topLeftCell="A21" zoomScale="70" zoomScaleNormal="80" zoomScaleSheetLayoutView="70" workbookViewId="0">
      <selection activeCell="D52" sqref="D52"/>
    </sheetView>
  </sheetViews>
  <sheetFormatPr defaultRowHeight="14.5"/>
  <cols>
    <col min="1" max="1" width="45.7265625" customWidth="1"/>
    <col min="2" max="2" width="16.81640625" customWidth="1"/>
    <col min="3" max="3" width="72.1796875" customWidth="1"/>
    <col min="4" max="4" width="34.54296875" customWidth="1"/>
    <col min="5" max="5" width="21.7265625" customWidth="1"/>
    <col min="6" max="6" width="18.8164062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5" t="s">
        <v>1</v>
      </c>
      <c r="B1" s="13"/>
      <c r="C1" s="13"/>
      <c r="D1" s="13"/>
      <c r="E1" s="13"/>
      <c r="F1" s="13"/>
      <c r="G1" s="13"/>
      <c r="H1" s="13"/>
      <c r="I1" s="13"/>
    </row>
    <row r="2" spans="1:9" ht="17.5">
      <c r="A2" s="65" t="s">
        <v>9</v>
      </c>
      <c r="B2" s="13"/>
      <c r="C2" s="13"/>
      <c r="D2" s="13"/>
      <c r="E2" s="13"/>
      <c r="F2" s="13"/>
      <c r="G2" s="13"/>
      <c r="H2" s="13"/>
      <c r="I2" s="13"/>
    </row>
    <row r="3" spans="1:9" ht="17">
      <c r="A3" s="45" t="s">
        <v>487</v>
      </c>
      <c r="B3" s="13"/>
      <c r="C3" s="13"/>
      <c r="D3" s="13"/>
      <c r="E3" s="13"/>
      <c r="F3" s="13"/>
      <c r="G3" s="13"/>
      <c r="H3" s="13"/>
      <c r="I3" s="13"/>
    </row>
    <row r="4" spans="1:9" ht="17">
      <c r="A4" s="13"/>
      <c r="B4" s="13"/>
      <c r="C4" s="13"/>
      <c r="D4" s="13"/>
      <c r="E4" s="13"/>
      <c r="F4" s="13"/>
      <c r="G4" s="13"/>
      <c r="H4" s="13"/>
      <c r="I4" s="13"/>
    </row>
    <row r="5" spans="1:9" ht="18" thickBot="1">
      <c r="A5" s="65"/>
      <c r="B5" s="13"/>
      <c r="C5" s="13"/>
      <c r="D5" s="13"/>
      <c r="E5" s="13"/>
      <c r="F5" s="13"/>
      <c r="G5" s="13"/>
      <c r="H5" s="13"/>
      <c r="I5" s="13"/>
    </row>
    <row r="6" spans="1:9" ht="21.5" thickBot="1">
      <c r="A6" s="272" t="str">
        <f>+'S&amp;D'!A12</f>
        <v>Natural Gas Utility Distribution</v>
      </c>
      <c r="B6" s="202"/>
      <c r="C6" s="13"/>
      <c r="D6" s="13"/>
      <c r="E6" s="13"/>
      <c r="F6" s="13"/>
      <c r="G6" s="13"/>
      <c r="H6" s="13"/>
      <c r="I6" s="13"/>
    </row>
    <row r="7" spans="1:9" ht="18" thickBot="1">
      <c r="A7" s="65"/>
      <c r="B7" s="13"/>
      <c r="C7" s="30"/>
      <c r="E7" s="13"/>
      <c r="F7" s="13"/>
      <c r="G7" s="13"/>
      <c r="H7" s="13"/>
      <c r="I7" s="13"/>
    </row>
    <row r="8" spans="1:9" ht="25.5">
      <c r="B8" s="13"/>
      <c r="C8" s="33" t="s">
        <v>177</v>
      </c>
      <c r="E8" s="13"/>
      <c r="F8" s="13"/>
      <c r="G8" s="13"/>
      <c r="H8" s="13"/>
      <c r="I8" s="13"/>
    </row>
    <row r="9" spans="1:9" ht="21.5" thickBot="1">
      <c r="A9" s="32"/>
      <c r="B9" s="13"/>
      <c r="C9" s="38" t="s">
        <v>488</v>
      </c>
      <c r="E9" s="13"/>
      <c r="F9" s="13"/>
      <c r="G9" s="13"/>
      <c r="H9" s="13"/>
      <c r="I9" s="13"/>
    </row>
    <row r="10" spans="1:9" ht="15" customHeight="1">
      <c r="A10" s="32"/>
      <c r="B10" s="13"/>
      <c r="C10" s="13"/>
      <c r="D10" s="13"/>
      <c r="E10" s="13"/>
      <c r="F10" s="13"/>
      <c r="G10" s="13"/>
      <c r="H10" s="13"/>
      <c r="I10" s="13"/>
    </row>
    <row r="11" spans="1:9" ht="17.5" thickBot="1">
      <c r="A11" s="13"/>
      <c r="B11" s="13"/>
      <c r="C11" s="13"/>
      <c r="D11" s="13"/>
      <c r="E11" s="13"/>
      <c r="F11" s="13"/>
      <c r="G11" s="13"/>
      <c r="H11" s="13"/>
      <c r="I11" s="13"/>
    </row>
    <row r="12" spans="1:9" ht="17">
      <c r="A12" s="13"/>
      <c r="B12" s="13"/>
      <c r="C12" s="81" t="s">
        <v>0</v>
      </c>
      <c r="D12" s="81" t="s">
        <v>212</v>
      </c>
      <c r="E12" s="13"/>
      <c r="F12" s="13"/>
      <c r="G12" s="13"/>
      <c r="H12" s="13"/>
      <c r="I12" s="13"/>
    </row>
    <row r="13" spans="1:9" ht="21.5" thickBot="1">
      <c r="A13" s="13"/>
      <c r="B13" s="13"/>
      <c r="C13" s="358" t="s">
        <v>176</v>
      </c>
      <c r="D13" s="83" t="s">
        <v>303</v>
      </c>
      <c r="E13" s="13"/>
      <c r="F13" s="13"/>
      <c r="G13" s="13"/>
      <c r="H13" s="13"/>
      <c r="I13" s="13"/>
    </row>
    <row r="14" spans="1:9" ht="17.5">
      <c r="A14" s="13"/>
      <c r="B14" s="13"/>
      <c r="C14" s="389" t="s">
        <v>443</v>
      </c>
      <c r="D14" s="392">
        <f>+CAPM!F16</f>
        <v>6.7581000000000002E-2</v>
      </c>
      <c r="E14" s="394"/>
      <c r="F14" s="13"/>
      <c r="G14" s="13"/>
      <c r="H14" s="13"/>
      <c r="I14" s="13"/>
    </row>
    <row r="15" spans="1:9" ht="17.5">
      <c r="A15" s="13"/>
      <c r="B15" s="13"/>
      <c r="C15" s="390" t="s">
        <v>444</v>
      </c>
      <c r="D15" s="393">
        <f>+CAPM!F17</f>
        <v>6.9127999999999995E-2</v>
      </c>
      <c r="E15" s="394"/>
      <c r="F15" s="13" t="s">
        <v>0</v>
      </c>
      <c r="G15" s="13"/>
      <c r="H15" s="13"/>
      <c r="I15" s="13"/>
    </row>
    <row r="16" spans="1:9" ht="17.5">
      <c r="A16" s="13"/>
      <c r="B16" s="13"/>
      <c r="C16" s="390" t="s">
        <v>465</v>
      </c>
      <c r="D16" s="393">
        <f>+CAPM!F19</f>
        <v>8.2960000000000006E-2</v>
      </c>
      <c r="E16" s="394"/>
      <c r="F16" s="13" t="s">
        <v>0</v>
      </c>
      <c r="G16" s="13"/>
      <c r="H16" s="13"/>
      <c r="I16" s="13"/>
    </row>
    <row r="17" spans="1:9" ht="17.5">
      <c r="A17" s="13"/>
      <c r="B17" s="13"/>
      <c r="C17" s="390" t="s">
        <v>479</v>
      </c>
      <c r="D17" s="393">
        <f>+CAPM!F20</f>
        <v>9.6337000000000006E-2</v>
      </c>
      <c r="E17" s="394"/>
      <c r="F17" s="13"/>
      <c r="G17" s="13"/>
      <c r="H17" s="13"/>
      <c r="I17" s="13"/>
    </row>
    <row r="18" spans="1:9" ht="17.5">
      <c r="A18" s="13"/>
      <c r="B18" s="13"/>
      <c r="C18" s="390" t="s">
        <v>466</v>
      </c>
      <c r="D18" s="393">
        <f>+CAPM!F21</f>
        <v>8.1412999999999999E-2</v>
      </c>
      <c r="E18" s="394"/>
      <c r="F18" s="13"/>
      <c r="G18" s="13"/>
      <c r="H18" s="13"/>
      <c r="I18" s="13"/>
    </row>
    <row r="19" spans="1:9" ht="17.5">
      <c r="A19" s="13"/>
      <c r="B19" s="13"/>
      <c r="C19" s="390" t="s">
        <v>467</v>
      </c>
      <c r="D19" s="393">
        <f>+CAPM!F22</f>
        <v>8.0139000000000002E-2</v>
      </c>
      <c r="E19" s="394"/>
      <c r="F19" s="13"/>
      <c r="G19" s="13"/>
      <c r="H19" s="13"/>
      <c r="I19" s="13"/>
    </row>
    <row r="20" spans="1:9" ht="17.5">
      <c r="A20" s="13"/>
      <c r="B20" s="13"/>
      <c r="C20" s="390" t="s">
        <v>178</v>
      </c>
      <c r="D20" s="393">
        <f>+CAPM!F24</f>
        <v>8.6053999999999992E-2</v>
      </c>
      <c r="E20" s="394"/>
      <c r="F20" s="13"/>
      <c r="G20" s="13"/>
      <c r="H20" s="13"/>
      <c r="I20" s="13"/>
    </row>
    <row r="21" spans="1:9" ht="17.5">
      <c r="A21" s="13"/>
      <c r="B21" s="13"/>
      <c r="C21" s="390" t="s">
        <v>179</v>
      </c>
      <c r="D21" s="393">
        <f>+CAPM!F26</f>
        <v>9.2969999999999997E-2</v>
      </c>
      <c r="E21" s="394"/>
      <c r="F21" s="13"/>
      <c r="G21" s="13"/>
      <c r="H21" s="13"/>
      <c r="I21" s="13"/>
    </row>
    <row r="22" spans="1:9" ht="17.5">
      <c r="A22" s="13"/>
      <c r="B22" s="13"/>
      <c r="C22" s="390" t="s">
        <v>180</v>
      </c>
      <c r="D22" s="393">
        <f>+CAPM!F28</f>
        <v>9.9794999999999995E-2</v>
      </c>
      <c r="E22" s="411"/>
      <c r="G22" s="13"/>
      <c r="H22" s="13"/>
      <c r="I22" s="13"/>
    </row>
    <row r="23" spans="1:9" ht="17.5">
      <c r="A23" s="13"/>
      <c r="B23" s="13"/>
      <c r="C23" s="390" t="s">
        <v>181</v>
      </c>
      <c r="D23" s="393">
        <f>+CAPM!F29</f>
        <v>8.8328999999999991E-2</v>
      </c>
      <c r="E23" s="411"/>
      <c r="G23" s="13"/>
      <c r="H23" s="13"/>
      <c r="I23" s="13"/>
    </row>
    <row r="24" spans="1:9" ht="17.5">
      <c r="A24" s="13"/>
      <c r="B24" s="13"/>
      <c r="C24" s="391" t="s">
        <v>468</v>
      </c>
      <c r="D24" s="393">
        <f>+CAPM!F31</f>
        <v>0.106347</v>
      </c>
      <c r="E24" s="411"/>
      <c r="G24" s="13"/>
      <c r="H24" s="13"/>
      <c r="I24" s="13"/>
    </row>
    <row r="25" spans="1:9" ht="17.5">
      <c r="A25" s="13"/>
      <c r="B25" s="13"/>
      <c r="C25" s="391" t="s">
        <v>469</v>
      </c>
      <c r="D25" s="393">
        <f>+CAPM!F32</f>
        <v>9.7701999999999997E-2</v>
      </c>
      <c r="E25" s="395"/>
      <c r="F25" s="13"/>
      <c r="G25" s="13"/>
      <c r="H25" s="13"/>
      <c r="I25" s="13"/>
    </row>
    <row r="26" spans="1:9" ht="17.5">
      <c r="A26" s="13"/>
      <c r="B26" s="13"/>
      <c r="C26" s="391" t="s">
        <v>470</v>
      </c>
      <c r="D26" s="393">
        <f>+CAPM!F33</f>
        <v>9.1150000000000009E-2</v>
      </c>
      <c r="E26" s="395"/>
      <c r="F26" s="13"/>
      <c r="G26" s="13"/>
      <c r="H26" s="13"/>
      <c r="I26" s="13"/>
    </row>
    <row r="27" spans="1:9" ht="17.5">
      <c r="A27" s="13"/>
      <c r="B27" s="13"/>
      <c r="C27" s="390" t="s">
        <v>445</v>
      </c>
      <c r="D27" s="393">
        <f>+CAPM!G42</f>
        <v>6.8235749999999998E-2</v>
      </c>
      <c r="E27" s="394"/>
      <c r="F27" s="13"/>
      <c r="G27" s="13"/>
      <c r="H27" s="13"/>
      <c r="I27" s="13"/>
    </row>
    <row r="28" spans="1:9" ht="17.5">
      <c r="A28" s="13"/>
      <c r="B28" s="13"/>
      <c r="C28" s="390" t="s">
        <v>446</v>
      </c>
      <c r="D28" s="393">
        <f>+CAPM!G43</f>
        <v>6.9820999999999994E-2</v>
      </c>
      <c r="E28" s="394"/>
      <c r="F28" s="13"/>
      <c r="G28" s="13"/>
      <c r="H28" s="13"/>
      <c r="I28" s="13"/>
    </row>
    <row r="29" spans="1:9" ht="17.5">
      <c r="A29" s="13"/>
      <c r="B29" s="13"/>
      <c r="C29" s="390" t="s">
        <v>471</v>
      </c>
      <c r="D29" s="393">
        <f>+CAPM!G45</f>
        <v>8.3995E-2</v>
      </c>
      <c r="E29" s="394"/>
      <c r="F29" s="13"/>
      <c r="G29" s="13"/>
      <c r="H29" s="13"/>
      <c r="I29" s="13"/>
    </row>
    <row r="30" spans="1:9" ht="17.5">
      <c r="A30" s="13"/>
      <c r="B30" s="13"/>
      <c r="C30" s="390" t="s">
        <v>480</v>
      </c>
      <c r="D30" s="393">
        <f>+CAPM!G46</f>
        <v>9.7702750000000005E-2</v>
      </c>
      <c r="E30" s="394"/>
      <c r="F30" s="13"/>
      <c r="G30" s="13"/>
      <c r="H30" s="13"/>
      <c r="I30" s="13"/>
    </row>
    <row r="31" spans="1:9" ht="17.5">
      <c r="A31" s="13"/>
      <c r="B31" s="13"/>
      <c r="C31" s="390" t="s">
        <v>472</v>
      </c>
      <c r="D31" s="393">
        <f>+CAPM!G47</f>
        <v>8.2409750000000004E-2</v>
      </c>
      <c r="E31" s="394"/>
      <c r="F31" s="13"/>
      <c r="G31" s="13"/>
      <c r="H31" s="13"/>
      <c r="I31" s="13"/>
    </row>
    <row r="32" spans="1:9" ht="17.5">
      <c r="A32" s="13"/>
      <c r="B32" s="13"/>
      <c r="C32" s="390" t="s">
        <v>473</v>
      </c>
      <c r="D32" s="393">
        <f>+CAPM!G48</f>
        <v>8.1104250000000003E-2</v>
      </c>
      <c r="E32" s="394"/>
      <c r="F32" s="13"/>
      <c r="G32" s="13"/>
      <c r="H32" s="13"/>
      <c r="I32" s="13"/>
    </row>
    <row r="33" spans="1:9" ht="17.5">
      <c r="A33" s="13"/>
      <c r="B33" s="13"/>
      <c r="C33" s="390" t="s">
        <v>182</v>
      </c>
      <c r="D33" s="393">
        <f>+CAPM!G50</f>
        <v>8.7165500000000007E-2</v>
      </c>
      <c r="E33" s="394"/>
      <c r="F33" s="13"/>
      <c r="G33" s="13"/>
      <c r="H33" s="13"/>
      <c r="I33" s="13"/>
    </row>
    <row r="34" spans="1:9" ht="17.5">
      <c r="A34" s="13"/>
      <c r="B34" s="13"/>
      <c r="C34" s="401" t="s">
        <v>183</v>
      </c>
      <c r="D34" s="393">
        <f>+CAPM!G52</f>
        <v>9.4252500000000003E-2</v>
      </c>
      <c r="E34" s="394"/>
      <c r="F34" s="13"/>
      <c r="G34" s="13"/>
      <c r="H34" s="13"/>
      <c r="I34" s="13"/>
    </row>
    <row r="35" spans="1:9" ht="17.5">
      <c r="A35" s="13"/>
      <c r="B35" s="13"/>
      <c r="C35" s="402" t="s">
        <v>184</v>
      </c>
      <c r="D35" s="393">
        <f>+CAPM!G54</f>
        <v>0.10124625000000001</v>
      </c>
      <c r="E35" s="394"/>
      <c r="F35" s="13"/>
      <c r="G35" s="13"/>
      <c r="H35" s="13"/>
      <c r="I35" s="13"/>
    </row>
    <row r="36" spans="1:9" ht="17.5">
      <c r="A36" s="13"/>
      <c r="B36" s="13"/>
      <c r="C36" s="401" t="s">
        <v>185</v>
      </c>
      <c r="D36" s="393">
        <f>+CAPM!G55</f>
        <v>8.949675E-2</v>
      </c>
      <c r="E36" s="394"/>
      <c r="F36" s="13"/>
      <c r="G36" s="13"/>
      <c r="H36" s="13"/>
      <c r="I36" s="13"/>
    </row>
    <row r="37" spans="1:9" ht="16.5" customHeight="1">
      <c r="A37" s="13"/>
      <c r="B37" s="13"/>
      <c r="C37" s="391" t="s">
        <v>474</v>
      </c>
      <c r="D37" s="393">
        <f>+CAPM!G57</f>
        <v>0.10796024999999999</v>
      </c>
      <c r="E37" s="394" t="s">
        <v>0</v>
      </c>
      <c r="F37" s="13"/>
      <c r="G37" s="13"/>
      <c r="H37" s="13"/>
      <c r="I37" s="13"/>
    </row>
    <row r="38" spans="1:9" ht="16.5" customHeight="1">
      <c r="A38" s="13"/>
      <c r="B38" s="13"/>
      <c r="C38" s="391" t="s">
        <v>475</v>
      </c>
      <c r="D38" s="393">
        <f>+CAPM!G58</f>
        <v>9.9101500000000009E-2</v>
      </c>
      <c r="E38" s="394"/>
      <c r="F38" s="13"/>
      <c r="G38" s="13"/>
      <c r="H38" s="13"/>
      <c r="I38" s="13"/>
    </row>
    <row r="39" spans="1:9" ht="18.75" customHeight="1">
      <c r="A39" s="13"/>
      <c r="B39" s="13"/>
      <c r="C39" s="391" t="s">
        <v>476</v>
      </c>
      <c r="D39" s="393">
        <f>+CAPM!G59</f>
        <v>9.2387499999999997E-2</v>
      </c>
      <c r="E39" s="396"/>
      <c r="F39" s="13"/>
      <c r="G39" s="13"/>
      <c r="H39" s="13"/>
      <c r="I39" s="13"/>
    </row>
    <row r="40" spans="1:9" ht="21.75" customHeight="1">
      <c r="A40" s="13"/>
      <c r="B40" s="13"/>
      <c r="C40" s="403" t="s">
        <v>261</v>
      </c>
      <c r="D40" s="404">
        <f>+'Single Stage Div Growth Model'!I34</f>
        <v>8.5500000000000007E-2</v>
      </c>
      <c r="E40" s="411"/>
      <c r="G40" s="13"/>
      <c r="H40" s="13"/>
      <c r="I40" s="13"/>
    </row>
    <row r="41" spans="1:9" ht="21.75" customHeight="1">
      <c r="A41" s="13"/>
      <c r="B41" s="13"/>
      <c r="C41" s="276" t="s">
        <v>260</v>
      </c>
      <c r="D41" s="404">
        <f>+'Single Stage Div Growth Model'!I36</f>
        <v>0.1023</v>
      </c>
      <c r="E41" s="411"/>
      <c r="G41" s="13"/>
      <c r="H41" s="13"/>
      <c r="I41" s="13"/>
    </row>
    <row r="42" spans="1:9" ht="21.75" customHeight="1">
      <c r="A42" s="13"/>
      <c r="B42" s="13"/>
      <c r="C42" s="359" t="s">
        <v>262</v>
      </c>
      <c r="D42" s="412">
        <f>+'Two-Stage Dividend Growth Model'!H38</f>
        <v>9.6799999999999997E-2</v>
      </c>
      <c r="E42" s="411"/>
      <c r="G42" s="84" t="s">
        <v>0</v>
      </c>
      <c r="H42" s="13"/>
      <c r="I42" s="13"/>
    </row>
    <row r="43" spans="1:9" ht="21.75" customHeight="1">
      <c r="A43" s="13"/>
      <c r="B43" s="13"/>
      <c r="C43" s="356" t="s">
        <v>382</v>
      </c>
      <c r="D43" s="355">
        <f>+'Direct NOPAT'!G67</f>
        <v>7.6399999999999996E-2</v>
      </c>
      <c r="E43" s="194" t="s">
        <v>0</v>
      </c>
      <c r="F43" s="13"/>
      <c r="G43" s="13"/>
      <c r="H43" s="13"/>
      <c r="I43" s="13"/>
    </row>
    <row r="44" spans="1:9" ht="17.5" thickBot="1">
      <c r="A44" s="13"/>
      <c r="B44" s="13"/>
      <c r="C44" s="13"/>
      <c r="D44" s="73"/>
      <c r="E44" s="13"/>
      <c r="F44" s="13"/>
      <c r="G44" s="13"/>
      <c r="H44" s="13"/>
      <c r="I44" s="13"/>
    </row>
    <row r="45" spans="1:9" ht="17.5" thickTop="1">
      <c r="A45" s="13"/>
      <c r="B45" s="13"/>
      <c r="C45" s="15" t="s">
        <v>56</v>
      </c>
      <c r="D45" s="54">
        <f>MAX(D14:D42)</f>
        <v>0.10796024999999999</v>
      </c>
      <c r="E45" s="153"/>
      <c r="F45" s="13"/>
      <c r="G45" s="13"/>
      <c r="H45" s="13"/>
      <c r="I45" s="13"/>
    </row>
    <row r="46" spans="1:9" ht="17">
      <c r="A46" s="13"/>
      <c r="B46" s="13"/>
      <c r="C46" s="15" t="s">
        <v>57</v>
      </c>
      <c r="D46" s="357">
        <f>+MIN(D14:D42)</f>
        <v>6.7581000000000002E-2</v>
      </c>
      <c r="E46" s="13"/>
      <c r="F46" s="13"/>
      <c r="G46" s="54"/>
      <c r="H46" s="54"/>
      <c r="I46" s="54"/>
    </row>
    <row r="47" spans="1:9" ht="17">
      <c r="A47" s="13"/>
      <c r="B47" s="13"/>
      <c r="C47" s="15" t="s">
        <v>18</v>
      </c>
      <c r="D47" s="84">
        <f>MEDIAN(D14:D42)</f>
        <v>8.949675E-2</v>
      </c>
      <c r="E47" s="84"/>
      <c r="F47" s="84"/>
      <c r="G47" s="84"/>
      <c r="H47" s="84"/>
      <c r="I47" s="84"/>
    </row>
    <row r="48" spans="1:9" ht="17">
      <c r="A48" s="13"/>
      <c r="B48" s="13"/>
      <c r="C48" s="15" t="s">
        <v>448</v>
      </c>
      <c r="D48" s="85">
        <f>AVERAGE(D14:D42)</f>
        <v>8.8944267241379327E-2</v>
      </c>
      <c r="E48" s="85"/>
      <c r="F48" s="85"/>
      <c r="G48" s="85"/>
      <c r="H48" s="85"/>
      <c r="I48" s="85"/>
    </row>
    <row r="49" spans="1:9" ht="17">
      <c r="A49" s="13"/>
      <c r="B49" s="13"/>
      <c r="C49" s="15" t="s">
        <v>458</v>
      </c>
      <c r="D49" s="85">
        <f>HARMEAN(D14:D42)</f>
        <v>8.74862911096842E-2</v>
      </c>
      <c r="E49" s="85"/>
      <c r="F49" s="85"/>
      <c r="G49" s="85"/>
      <c r="H49" s="85"/>
      <c r="I49" s="85"/>
    </row>
    <row r="50" spans="1:9" ht="17.5" thickBot="1">
      <c r="A50" s="13"/>
      <c r="B50" s="13"/>
      <c r="C50" s="13"/>
      <c r="D50" s="13" t="s">
        <v>215</v>
      </c>
      <c r="E50" s="13"/>
      <c r="F50" s="13"/>
      <c r="G50" s="13"/>
      <c r="H50" s="13"/>
      <c r="I50" s="13"/>
    </row>
    <row r="51" spans="1:9" ht="26" thickBot="1">
      <c r="A51" s="13"/>
      <c r="B51" s="13"/>
      <c r="C51" s="211" t="s">
        <v>269</v>
      </c>
      <c r="D51" s="406">
        <v>8.8900000000000007E-2</v>
      </c>
      <c r="E51" s="86"/>
      <c r="F51" s="86"/>
    </row>
    <row r="52" spans="1:9" ht="17">
      <c r="B52" s="13"/>
      <c r="C52" s="13"/>
      <c r="D52" s="13"/>
      <c r="E52" s="13"/>
      <c r="F52" s="13"/>
      <c r="G52" s="13"/>
      <c r="H52" s="13"/>
      <c r="I52" s="13"/>
    </row>
    <row r="53" spans="1:9" ht="17">
      <c r="B53" s="13"/>
      <c r="C53" s="13"/>
      <c r="D53" s="13"/>
      <c r="E53" s="13"/>
      <c r="F53" s="13"/>
      <c r="G53" s="13"/>
      <c r="H53" s="13"/>
      <c r="I53" s="13"/>
    </row>
    <row r="54" spans="1:9" ht="17">
      <c r="A54" s="13"/>
      <c r="B54" s="13"/>
      <c r="C54" s="13"/>
      <c r="D54" s="13"/>
      <c r="E54" s="13"/>
      <c r="F54" s="13"/>
      <c r="G54" s="13"/>
      <c r="H54" s="13"/>
      <c r="I54" s="13"/>
    </row>
    <row r="55" spans="1:9" ht="17">
      <c r="A55" s="13"/>
      <c r="B55" s="13"/>
      <c r="C55" s="13"/>
      <c r="D55" s="13"/>
      <c r="E55" s="13"/>
      <c r="F55" s="13"/>
      <c r="G55" s="13"/>
      <c r="H55" s="13"/>
      <c r="I55" s="13"/>
    </row>
    <row r="56" spans="1:9" ht="17.5">
      <c r="A56" s="113" t="s">
        <v>270</v>
      </c>
      <c r="B56" s="13"/>
      <c r="C56" s="13"/>
      <c r="D56" s="13"/>
      <c r="E56" s="13"/>
      <c r="F56" s="13"/>
      <c r="G56" s="13"/>
      <c r="H56" s="13"/>
      <c r="I56" s="13"/>
    </row>
    <row r="57" spans="1:9" ht="17.5">
      <c r="A57" s="113" t="s">
        <v>385</v>
      </c>
      <c r="B57" s="13"/>
      <c r="C57" s="13"/>
      <c r="D57" s="13"/>
      <c r="E57" s="13"/>
      <c r="F57" s="13"/>
      <c r="G57" s="13"/>
      <c r="H57" s="13"/>
      <c r="I57" s="13"/>
    </row>
    <row r="58" spans="1:9" ht="17">
      <c r="A58" s="13"/>
      <c r="B58" s="13"/>
      <c r="C58" s="13"/>
      <c r="D58" s="13" t="s">
        <v>0</v>
      </c>
      <c r="E58" s="13"/>
      <c r="F58" s="13"/>
      <c r="G58" s="13"/>
      <c r="H58" s="13"/>
      <c r="I58" s="13"/>
    </row>
    <row r="59" spans="1:9" ht="17">
      <c r="A59" s="13"/>
      <c r="B59" s="13"/>
      <c r="C59" s="13"/>
      <c r="D59" s="13" t="s">
        <v>0</v>
      </c>
      <c r="E59" s="13"/>
      <c r="F59" s="13"/>
      <c r="G59" s="13"/>
      <c r="H59" s="13"/>
      <c r="I59" s="13"/>
    </row>
    <row r="60" spans="1:9" ht="17">
      <c r="A60" s="13"/>
      <c r="B60" s="13"/>
      <c r="C60" s="13"/>
      <c r="D60" s="13"/>
      <c r="E60" s="13"/>
      <c r="F60" s="13"/>
      <c r="G60" s="13"/>
      <c r="H60" s="13"/>
      <c r="I60" s="13"/>
    </row>
    <row r="61" spans="1:9" ht="17">
      <c r="A61" s="13"/>
      <c r="B61" s="13"/>
      <c r="C61" s="13"/>
      <c r="D61" s="13"/>
      <c r="E61" s="13"/>
      <c r="F61" s="13"/>
      <c r="G61" s="13"/>
      <c r="H61" s="13"/>
      <c r="I61" s="13"/>
    </row>
    <row r="62" spans="1:9" ht="17">
      <c r="A62" s="13"/>
      <c r="B62" s="13"/>
      <c r="C62" s="13"/>
      <c r="D62" s="13"/>
      <c r="E62" s="13"/>
      <c r="F62" s="13"/>
      <c r="G62" s="13"/>
      <c r="H62" s="13"/>
      <c r="I62" s="13"/>
    </row>
    <row r="63" spans="1:9" ht="17">
      <c r="A63" s="13"/>
      <c r="B63" s="13"/>
      <c r="C63" s="13"/>
      <c r="D63" s="13"/>
      <c r="E63" s="13"/>
      <c r="F63" s="13"/>
      <c r="G63" s="13"/>
      <c r="H63" s="13"/>
      <c r="I63" s="13"/>
    </row>
    <row r="64" spans="1:9" ht="17">
      <c r="A64" s="13"/>
      <c r="B64" s="13"/>
      <c r="C64" s="13"/>
      <c r="D64" s="13"/>
      <c r="E64" s="13"/>
      <c r="F64" s="13"/>
      <c r="G64" s="13"/>
      <c r="H64" s="13"/>
      <c r="I64" s="13"/>
    </row>
    <row r="65" spans="1:9" ht="17">
      <c r="A65" s="13"/>
      <c r="B65" s="13"/>
      <c r="C65" s="13"/>
      <c r="D65" s="13"/>
      <c r="E65" s="13"/>
      <c r="F65" s="13"/>
      <c r="G65" s="13"/>
      <c r="H65" s="13"/>
      <c r="I65" s="13"/>
    </row>
    <row r="66" spans="1:9" ht="17">
      <c r="A66" s="13"/>
      <c r="B66" s="13"/>
      <c r="C66" s="13"/>
      <c r="D66" s="13"/>
      <c r="E66" s="13"/>
      <c r="F66" s="13"/>
      <c r="G66" s="13"/>
      <c r="H66" s="13"/>
      <c r="I66" s="13"/>
    </row>
    <row r="67" spans="1:9" ht="17">
      <c r="A67" s="13"/>
      <c r="B67" s="13"/>
      <c r="C67" s="13"/>
      <c r="D67" s="13"/>
      <c r="E67" s="13"/>
      <c r="F67" s="13"/>
      <c r="G67" s="13"/>
      <c r="H67" s="13"/>
      <c r="I67" s="13"/>
    </row>
    <row r="68" spans="1:9" ht="17">
      <c r="A68" s="13"/>
      <c r="B68" s="13"/>
      <c r="C68" s="13"/>
      <c r="D68" s="13"/>
      <c r="E68" s="13"/>
      <c r="F68" s="13"/>
      <c r="G68" s="13"/>
      <c r="H68" s="13"/>
      <c r="I68" s="13"/>
    </row>
    <row r="69" spans="1:9" ht="17">
      <c r="A69" s="13"/>
      <c r="B69" s="13"/>
      <c r="C69" s="13"/>
      <c r="D69" s="13"/>
      <c r="E69" s="13"/>
      <c r="F69" s="13"/>
      <c r="G69" s="13"/>
      <c r="H69" s="13"/>
      <c r="I69" s="13"/>
    </row>
    <row r="70" spans="1:9" ht="17">
      <c r="A70" s="13"/>
      <c r="B70" s="13"/>
      <c r="C70" s="13"/>
      <c r="D70" s="13"/>
      <c r="E70" s="13"/>
      <c r="F70" s="13"/>
      <c r="G70" s="13"/>
      <c r="H70" s="13"/>
      <c r="I70" s="13"/>
    </row>
    <row r="71" spans="1:9" ht="17">
      <c r="A71" s="13"/>
      <c r="B71" s="13"/>
      <c r="C71" s="13"/>
      <c r="D71" s="13"/>
      <c r="E71" s="13"/>
      <c r="F71" s="13"/>
      <c r="G71" s="13"/>
      <c r="H71" s="13"/>
      <c r="I71" s="13"/>
    </row>
    <row r="72" spans="1:9" ht="17">
      <c r="A72" s="13"/>
      <c r="B72" s="13"/>
      <c r="C72" s="13"/>
      <c r="D72" s="13"/>
      <c r="E72" s="13"/>
      <c r="F72" s="13"/>
      <c r="G72" s="13"/>
      <c r="H72" s="13"/>
      <c r="I72" s="13"/>
    </row>
    <row r="73" spans="1:9" ht="17">
      <c r="A73" s="13"/>
      <c r="B73" s="13"/>
      <c r="C73" s="13"/>
      <c r="D73" s="13"/>
      <c r="E73" s="13"/>
      <c r="F73" s="13"/>
      <c r="G73" s="13"/>
      <c r="H73" s="13"/>
      <c r="I73" s="13"/>
    </row>
    <row r="74" spans="1:9" ht="17">
      <c r="A74" s="13"/>
      <c r="B74" s="13"/>
      <c r="C74" s="13"/>
      <c r="D74" s="13"/>
      <c r="E74" s="13"/>
      <c r="F74" s="13"/>
      <c r="G74" s="13"/>
      <c r="H74" s="13"/>
      <c r="I74" s="13"/>
    </row>
    <row r="75" spans="1:9" ht="17">
      <c r="A75" s="13"/>
      <c r="B75" s="13"/>
      <c r="C75" s="13"/>
      <c r="D75" s="13"/>
      <c r="E75" s="13"/>
      <c r="F75" s="13"/>
      <c r="G75" s="13"/>
      <c r="H75" s="13"/>
      <c r="I75" s="13"/>
    </row>
    <row r="76" spans="1:9" ht="17">
      <c r="A76" s="13"/>
      <c r="B76" s="13"/>
      <c r="C76" s="13"/>
      <c r="D76" s="13"/>
      <c r="E76" s="13"/>
      <c r="F76" s="13"/>
      <c r="G76" s="13"/>
      <c r="H76" s="13"/>
      <c r="I76" s="13"/>
    </row>
    <row r="77" spans="1:9" ht="17">
      <c r="A77" s="13"/>
      <c r="B77" s="13"/>
      <c r="C77" s="13"/>
      <c r="D77" s="13"/>
      <c r="E77" s="13"/>
      <c r="F77" s="13"/>
      <c r="G77" s="13"/>
      <c r="H77" s="13"/>
      <c r="I77" s="13"/>
    </row>
    <row r="78" spans="1:9" ht="17">
      <c r="A78" s="13"/>
      <c r="B78" s="13"/>
      <c r="C78" s="13"/>
      <c r="D78" s="13"/>
      <c r="E78" s="13"/>
      <c r="F78" s="13"/>
      <c r="G78" s="13"/>
      <c r="H78" s="13"/>
      <c r="I78" s="13"/>
    </row>
    <row r="79" spans="1:9" ht="17">
      <c r="A79" s="13"/>
      <c r="B79" s="13"/>
      <c r="C79" s="13"/>
      <c r="D79" s="13"/>
      <c r="E79" s="13"/>
      <c r="F79" s="13"/>
      <c r="G79" s="13"/>
      <c r="H79" s="13"/>
      <c r="I79" s="13"/>
    </row>
    <row r="80" spans="1:9" ht="17">
      <c r="A80" s="13"/>
      <c r="B80" s="13"/>
      <c r="C80" s="13"/>
      <c r="D80" s="13"/>
      <c r="E80" s="13"/>
      <c r="F80" s="13"/>
      <c r="G80" s="13"/>
      <c r="H80" s="13"/>
      <c r="I80" s="13"/>
    </row>
    <row r="81" spans="1:9" ht="17">
      <c r="A81" s="13"/>
      <c r="B81" s="13"/>
      <c r="C81" s="13"/>
      <c r="D81" s="13"/>
      <c r="E81" s="13"/>
      <c r="F81" s="13"/>
      <c r="G81" s="13"/>
      <c r="H81" s="13"/>
      <c r="I81" s="13"/>
    </row>
    <row r="82" spans="1:9" ht="17">
      <c r="A82" s="13"/>
      <c r="B82" s="13"/>
      <c r="C82" s="13"/>
      <c r="D82" s="13"/>
      <c r="E82" s="13"/>
      <c r="F82" s="13"/>
      <c r="G82" s="13"/>
      <c r="H82" s="13"/>
      <c r="I82" s="13"/>
    </row>
    <row r="83" spans="1:9" ht="17">
      <c r="A83" s="13"/>
      <c r="B83" s="13"/>
      <c r="C83" s="13"/>
      <c r="D83" s="13"/>
      <c r="E83" s="13"/>
      <c r="F83" s="13"/>
      <c r="G83" s="13"/>
      <c r="H83" s="13"/>
      <c r="I83" s="13"/>
    </row>
    <row r="84" spans="1:9" ht="17">
      <c r="A84" s="13"/>
      <c r="B84" s="13"/>
      <c r="C84" s="13"/>
      <c r="D84" s="13"/>
      <c r="E84" s="13"/>
      <c r="F84" s="13"/>
      <c r="G84" s="13"/>
      <c r="H84" s="13"/>
      <c r="I84" s="13"/>
    </row>
    <row r="85" spans="1:9" ht="17">
      <c r="A85" s="13"/>
      <c r="B85" s="13"/>
      <c r="C85" s="13"/>
      <c r="D85" s="13"/>
      <c r="E85" s="13"/>
      <c r="F85" s="13"/>
      <c r="G85" s="13"/>
      <c r="H85" s="13"/>
      <c r="I85" s="13"/>
    </row>
    <row r="86" spans="1:9" ht="17">
      <c r="A86" s="13"/>
      <c r="B86" s="13"/>
      <c r="C86" s="13"/>
      <c r="D86" s="13"/>
      <c r="E86" s="13"/>
      <c r="F86" s="13"/>
      <c r="G86" s="13"/>
      <c r="H86" s="13"/>
      <c r="I86" s="13"/>
    </row>
    <row r="87" spans="1:9" ht="17">
      <c r="A87" s="13"/>
      <c r="B87" s="13"/>
      <c r="C87" s="13"/>
      <c r="D87" s="13"/>
      <c r="E87" s="13"/>
      <c r="F87" s="13"/>
      <c r="G87" s="13"/>
      <c r="H87" s="13"/>
      <c r="I87" s="13"/>
    </row>
    <row r="88" spans="1:9" ht="17">
      <c r="A88" s="13"/>
      <c r="B88" s="13"/>
      <c r="C88" s="13"/>
      <c r="D88" s="13"/>
      <c r="E88" s="13"/>
      <c r="F88" s="13"/>
      <c r="G88" s="13"/>
      <c r="H88" s="13"/>
      <c r="I88" s="13"/>
    </row>
    <row r="89" spans="1:9" ht="17">
      <c r="A89" s="13"/>
      <c r="B89" s="13"/>
      <c r="C89" s="13"/>
      <c r="D89" s="13"/>
      <c r="E89" s="13"/>
      <c r="F89" s="13"/>
      <c r="G89" s="13"/>
      <c r="H89" s="13"/>
      <c r="I89" s="13"/>
    </row>
    <row r="90" spans="1:9" ht="17">
      <c r="A90" s="13"/>
      <c r="B90" s="13"/>
      <c r="C90" s="13"/>
      <c r="D90" s="13"/>
      <c r="E90" s="13"/>
      <c r="F90" s="13"/>
      <c r="G90" s="13"/>
      <c r="H90" s="13"/>
      <c r="I90" s="13"/>
    </row>
    <row r="91" spans="1:9" ht="17">
      <c r="A91" s="13"/>
      <c r="B91" s="13"/>
      <c r="C91" s="13"/>
      <c r="D91" s="13"/>
      <c r="E91" s="13"/>
      <c r="F91" s="13"/>
      <c r="G91" s="13"/>
      <c r="H91" s="13"/>
      <c r="I91" s="13"/>
    </row>
    <row r="92" spans="1:9" ht="17">
      <c r="A92" s="13"/>
      <c r="B92" s="13"/>
      <c r="C92" s="13"/>
      <c r="D92" s="13"/>
      <c r="E92" s="13"/>
      <c r="F92" s="13"/>
      <c r="G92" s="13"/>
      <c r="H92" s="13"/>
      <c r="I92" s="13"/>
    </row>
    <row r="93" spans="1:9" ht="17">
      <c r="A93" s="13"/>
      <c r="B93" s="13"/>
      <c r="C93" s="13"/>
      <c r="D93" s="13"/>
      <c r="E93" s="13"/>
      <c r="F93" s="13"/>
      <c r="G93" s="13"/>
      <c r="H93" s="13"/>
      <c r="I93" s="13"/>
    </row>
    <row r="94" spans="1:9" ht="17">
      <c r="A94" s="13"/>
      <c r="B94" s="13"/>
      <c r="C94" s="13"/>
      <c r="D94" s="13"/>
      <c r="E94" s="13"/>
      <c r="F94" s="13"/>
      <c r="G94" s="13"/>
      <c r="H94" s="13"/>
      <c r="I94" s="13"/>
    </row>
    <row r="95" spans="1:9" ht="17">
      <c r="A95" s="13"/>
      <c r="B95" s="13"/>
      <c r="C95" s="13"/>
      <c r="D95" s="13"/>
      <c r="E95" s="13"/>
      <c r="F95" s="13"/>
      <c r="G95" s="13"/>
      <c r="H95" s="13"/>
      <c r="I95" s="13"/>
    </row>
    <row r="96" spans="1:9" ht="17">
      <c r="A96" s="13"/>
      <c r="B96" s="13"/>
      <c r="C96" s="13"/>
      <c r="D96" s="13"/>
      <c r="E96" s="13"/>
      <c r="F96" s="13"/>
      <c r="G96" s="13"/>
      <c r="H96" s="13"/>
      <c r="I96" s="13"/>
    </row>
    <row r="97" spans="1:9" ht="17">
      <c r="A97" s="13"/>
      <c r="B97" s="13"/>
      <c r="C97" s="13"/>
      <c r="D97" s="13"/>
      <c r="E97" s="13"/>
      <c r="F97" s="13"/>
      <c r="G97" s="13"/>
      <c r="H97" s="13"/>
      <c r="I97" s="13"/>
    </row>
    <row r="98" spans="1:9" ht="17">
      <c r="A98" s="13"/>
      <c r="B98" s="13"/>
      <c r="C98" s="13"/>
      <c r="D98" s="13"/>
      <c r="E98" s="13"/>
      <c r="F98" s="13"/>
      <c r="G98" s="13"/>
      <c r="H98" s="13"/>
      <c r="I98" s="13"/>
    </row>
    <row r="99" spans="1:9" ht="17">
      <c r="A99" s="13"/>
      <c r="B99" s="13"/>
      <c r="C99" s="13"/>
      <c r="D99" s="13"/>
      <c r="E99" s="13"/>
      <c r="F99" s="13"/>
      <c r="G99" s="13"/>
      <c r="H99" s="13"/>
      <c r="I99" s="13"/>
    </row>
    <row r="100" spans="1:9" ht="17">
      <c r="A100" s="13"/>
      <c r="B100" s="13"/>
      <c r="C100" s="13"/>
      <c r="D100" s="13"/>
      <c r="E100" s="13"/>
      <c r="F100" s="13"/>
      <c r="G100" s="13"/>
      <c r="H100" s="13"/>
      <c r="I100" s="13"/>
    </row>
    <row r="101" spans="1:9" ht="17">
      <c r="A101" s="13"/>
      <c r="B101" s="13"/>
      <c r="C101" s="13"/>
      <c r="D101" s="13"/>
      <c r="E101" s="13"/>
      <c r="F101" s="13"/>
      <c r="G101" s="13"/>
      <c r="H101" s="13"/>
      <c r="I101" s="13"/>
    </row>
    <row r="102" spans="1:9" ht="17">
      <c r="A102" s="13"/>
      <c r="B102" s="13"/>
      <c r="C102" s="13"/>
      <c r="D102" s="13"/>
      <c r="E102" s="13"/>
      <c r="F102" s="13"/>
      <c r="G102" s="13"/>
      <c r="H102" s="13"/>
      <c r="I102" s="13"/>
    </row>
    <row r="103" spans="1:9" ht="17">
      <c r="A103" s="13"/>
      <c r="B103" s="13"/>
      <c r="C103" s="13"/>
      <c r="D103" s="13"/>
      <c r="E103" s="13"/>
      <c r="F103" s="13"/>
      <c r="G103" s="13"/>
      <c r="H103" s="13"/>
      <c r="I103" s="13"/>
    </row>
    <row r="104" spans="1:9" ht="17">
      <c r="A104" s="13"/>
      <c r="B104" s="13"/>
      <c r="C104" s="13"/>
      <c r="D104" s="13"/>
      <c r="E104" s="13"/>
      <c r="F104" s="13"/>
      <c r="G104" s="13"/>
      <c r="H104" s="13"/>
      <c r="I104" s="13"/>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DB25-4105-4ECC-8655-31692C149FA3}">
  <sheetPr>
    <tabColor rgb="FF92D050"/>
    <pageSetUpPr fitToPage="1"/>
  </sheetPr>
  <dimension ref="A1:J84"/>
  <sheetViews>
    <sheetView view="pageBreakPreview" topLeftCell="A6" zoomScale="60" zoomScaleNormal="80" workbookViewId="0">
      <selection activeCell="C62" sqref="C62"/>
    </sheetView>
  </sheetViews>
  <sheetFormatPr defaultRowHeight="14.5"/>
  <cols>
    <col min="1" max="1" width="78.179687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5" t="s">
        <v>1</v>
      </c>
      <c r="B1" s="25"/>
      <c r="C1" s="25"/>
      <c r="D1" s="13"/>
      <c r="E1" s="13"/>
      <c r="F1" s="13"/>
      <c r="G1" s="13"/>
      <c r="H1" s="13"/>
      <c r="I1" s="13"/>
      <c r="J1" s="13"/>
    </row>
    <row r="2" spans="1:10" ht="17.5">
      <c r="A2" s="26" t="s">
        <v>9</v>
      </c>
      <c r="B2" s="26"/>
      <c r="C2" s="26"/>
      <c r="D2" s="13"/>
      <c r="E2" s="13"/>
      <c r="F2" s="13"/>
      <c r="G2" s="13"/>
      <c r="H2" s="13"/>
      <c r="I2" s="13"/>
      <c r="J2" s="13"/>
    </row>
    <row r="3" spans="1:10" ht="17">
      <c r="A3" s="27" t="s">
        <v>487</v>
      </c>
      <c r="B3" s="27"/>
      <c r="C3" s="27"/>
      <c r="D3" s="13"/>
      <c r="E3" s="13"/>
      <c r="F3" s="13"/>
      <c r="G3" s="13"/>
      <c r="H3" s="13"/>
      <c r="I3" s="13"/>
      <c r="J3" s="13"/>
    </row>
    <row r="4" spans="1:10" ht="17">
      <c r="A4" s="27"/>
      <c r="B4" s="27"/>
      <c r="C4" s="27"/>
      <c r="D4" s="13"/>
      <c r="E4" s="13"/>
      <c r="F4" s="13"/>
      <c r="G4" s="13"/>
      <c r="H4" s="13"/>
      <c r="I4" s="13"/>
      <c r="J4" s="13"/>
    </row>
    <row r="5" spans="1:10" ht="17.5" thickBot="1">
      <c r="A5" s="13"/>
      <c r="B5" s="13"/>
      <c r="C5" s="13"/>
      <c r="D5" s="13"/>
      <c r="E5" s="13"/>
      <c r="F5" s="13"/>
      <c r="G5" s="13"/>
      <c r="H5" s="28" t="s">
        <v>0</v>
      </c>
      <c r="I5" s="28"/>
      <c r="J5" s="13"/>
    </row>
    <row r="6" spans="1:10" ht="21.5" thickBot="1">
      <c r="A6" s="29" t="str">
        <f>+'S&amp;D'!A12</f>
        <v>Natural Gas Utility Distribution</v>
      </c>
      <c r="B6" s="13"/>
      <c r="C6" s="13"/>
      <c r="D6" s="30"/>
      <c r="E6" s="30"/>
      <c r="F6" s="30"/>
      <c r="G6" s="13"/>
      <c r="H6" s="13"/>
      <c r="I6" s="13"/>
      <c r="J6" s="13"/>
    </row>
    <row r="7" spans="1:10" ht="25.5">
      <c r="B7" s="32"/>
      <c r="C7" s="32"/>
      <c r="D7" s="13"/>
      <c r="E7" s="33" t="s">
        <v>232</v>
      </c>
      <c r="F7" s="13"/>
      <c r="G7" s="13"/>
      <c r="H7" s="13"/>
      <c r="I7" s="13"/>
      <c r="J7" s="13"/>
    </row>
    <row r="8" spans="1:10" ht="21.5" thickBot="1">
      <c r="A8" s="32"/>
      <c r="B8" s="32"/>
      <c r="C8" s="32"/>
      <c r="D8" s="30"/>
      <c r="E8" s="38" t="s">
        <v>488</v>
      </c>
      <c r="F8" s="30"/>
      <c r="G8" s="13"/>
      <c r="H8" s="13"/>
      <c r="I8" s="13"/>
      <c r="J8" s="13"/>
    </row>
    <row r="9" spans="1:10" ht="21">
      <c r="A9" s="32"/>
      <c r="B9" s="32"/>
      <c r="C9" s="32"/>
      <c r="D9" s="13"/>
      <c r="E9" s="36"/>
      <c r="F9" s="13"/>
      <c r="G9" s="13"/>
      <c r="H9" s="13"/>
      <c r="I9" s="13"/>
      <c r="J9" s="13"/>
    </row>
    <row r="10" spans="1:10" ht="21">
      <c r="A10" s="32"/>
      <c r="B10" s="32"/>
      <c r="H10" s="13"/>
      <c r="I10" s="13"/>
      <c r="J10" s="13"/>
    </row>
    <row r="11" spans="1:10" ht="21">
      <c r="A11" s="32"/>
      <c r="B11" s="32"/>
      <c r="H11" s="13"/>
      <c r="I11" s="13"/>
      <c r="J11" s="13"/>
    </row>
    <row r="12" spans="1:10" ht="30" customHeight="1" thickBot="1">
      <c r="A12" s="32"/>
      <c r="B12" s="32"/>
      <c r="C12" t="s">
        <v>0</v>
      </c>
      <c r="H12" s="13"/>
      <c r="I12" s="13"/>
      <c r="J12" s="13"/>
    </row>
    <row r="13" spans="1:10" ht="26.25" customHeight="1" thickBot="1">
      <c r="A13" s="166" t="s">
        <v>248</v>
      </c>
      <c r="B13" s="13" t="s">
        <v>0</v>
      </c>
      <c r="C13" s="13"/>
      <c r="D13" s="13"/>
      <c r="E13" s="13"/>
      <c r="F13" s="13"/>
      <c r="G13" s="13"/>
      <c r="H13" s="13"/>
      <c r="I13" s="13"/>
      <c r="J13" s="13"/>
    </row>
    <row r="14" spans="1:10" ht="42" customHeight="1" thickBot="1">
      <c r="A14" s="165" t="s">
        <v>246</v>
      </c>
      <c r="B14" s="164" t="s">
        <v>237</v>
      </c>
      <c r="C14" s="163" t="s">
        <v>249</v>
      </c>
      <c r="D14" s="164" t="s">
        <v>239</v>
      </c>
      <c r="E14" s="164" t="s">
        <v>438</v>
      </c>
      <c r="F14" s="162" t="s">
        <v>238</v>
      </c>
      <c r="G14" s="13"/>
      <c r="H14" s="13"/>
      <c r="I14" s="13"/>
      <c r="J14" s="13"/>
    </row>
    <row r="15" spans="1:10" ht="17">
      <c r="A15" s="159"/>
      <c r="B15" s="119"/>
      <c r="C15" s="119"/>
      <c r="D15" s="119"/>
      <c r="E15" s="119"/>
      <c r="F15" s="160"/>
      <c r="G15" s="13"/>
      <c r="H15" s="13"/>
      <c r="I15" s="13"/>
      <c r="J15" s="13"/>
    </row>
    <row r="16" spans="1:10" ht="17.5">
      <c r="A16" s="203" t="s">
        <v>441</v>
      </c>
      <c r="B16" s="217">
        <v>2.9100000000000001E-2</v>
      </c>
      <c r="C16" s="214">
        <f>+'Beta for CAPM'!I34</f>
        <v>0.91</v>
      </c>
      <c r="D16" s="204">
        <f>+B16*C16</f>
        <v>2.6481000000000001E-2</v>
      </c>
      <c r="E16" s="204">
        <f>+'Growth &amp; Inflation Rates'!$F$93</f>
        <v>4.1099999999999998E-2</v>
      </c>
      <c r="F16" s="205">
        <f>+D16+E16</f>
        <v>6.7581000000000002E-2</v>
      </c>
      <c r="G16" s="13"/>
      <c r="H16" s="13"/>
      <c r="I16" s="13"/>
      <c r="J16" s="13"/>
    </row>
    <row r="17" spans="1:10" ht="17.5">
      <c r="A17" s="203" t="s">
        <v>442</v>
      </c>
      <c r="B17" s="217">
        <v>3.0800000000000001E-2</v>
      </c>
      <c r="C17" s="214">
        <f>+C16</f>
        <v>0.91</v>
      </c>
      <c r="D17" s="204">
        <f>+B17*C17</f>
        <v>2.8028000000000001E-2</v>
      </c>
      <c r="E17" s="204">
        <f>+'Growth &amp; Inflation Rates'!$F$93</f>
        <v>4.1099999999999998E-2</v>
      </c>
      <c r="F17" s="205">
        <f>+D17+E17</f>
        <v>6.9127999999999995E-2</v>
      </c>
      <c r="G17" s="13"/>
      <c r="H17" s="13"/>
      <c r="I17" s="13"/>
      <c r="J17" s="13"/>
    </row>
    <row r="18" spans="1:10" ht="17.5">
      <c r="A18" s="206"/>
      <c r="B18" s="113"/>
      <c r="C18" s="113"/>
      <c r="D18" s="113"/>
      <c r="E18" s="204"/>
      <c r="F18" s="207"/>
      <c r="G18" s="13"/>
      <c r="H18" s="13"/>
      <c r="I18" s="13"/>
      <c r="J18" s="13"/>
    </row>
    <row r="19" spans="1:10" ht="17.5">
      <c r="A19" s="203" t="s">
        <v>459</v>
      </c>
      <c r="B19" s="217">
        <v>4.5999999999999999E-2</v>
      </c>
      <c r="C19" s="214">
        <f>+C16</f>
        <v>0.91</v>
      </c>
      <c r="D19" s="204">
        <f>+B19*C19</f>
        <v>4.1860000000000001E-2</v>
      </c>
      <c r="E19" s="204">
        <f>+'Growth &amp; Inflation Rates'!$F$93</f>
        <v>4.1099999999999998E-2</v>
      </c>
      <c r="F19" s="205">
        <f>+D19+E19</f>
        <v>8.2960000000000006E-2</v>
      </c>
      <c r="G19" s="13"/>
      <c r="H19" s="13"/>
      <c r="I19" s="13"/>
      <c r="J19" s="13"/>
    </row>
    <row r="20" spans="1:10" ht="17.5">
      <c r="A20" s="203" t="s">
        <v>477</v>
      </c>
      <c r="B20" s="217">
        <v>6.0699999999999997E-2</v>
      </c>
      <c r="C20" s="214">
        <f>+C16</f>
        <v>0.91</v>
      </c>
      <c r="D20" s="204">
        <f>+B20*C20</f>
        <v>5.5237000000000001E-2</v>
      </c>
      <c r="E20" s="204">
        <f>+'Growth &amp; Inflation Rates'!$F$93</f>
        <v>4.1099999999999998E-2</v>
      </c>
      <c r="F20" s="205">
        <f>+D20+E20</f>
        <v>9.6337000000000006E-2</v>
      </c>
      <c r="G20" s="13"/>
      <c r="H20" s="13"/>
      <c r="I20" s="13"/>
      <c r="J20" s="13"/>
    </row>
    <row r="21" spans="1:10" ht="17.5">
      <c r="A21" s="203" t="s">
        <v>460</v>
      </c>
      <c r="B21" s="217">
        <v>4.4299999999999999E-2</v>
      </c>
      <c r="C21" s="214">
        <f>+C16</f>
        <v>0.91</v>
      </c>
      <c r="D21" s="204">
        <f>+B21*C21</f>
        <v>4.0313000000000002E-2</v>
      </c>
      <c r="E21" s="204">
        <f>+'Growth &amp; Inflation Rates'!$F$93</f>
        <v>4.1099999999999998E-2</v>
      </c>
      <c r="F21" s="205">
        <f>+D21+E21</f>
        <v>8.1412999999999999E-2</v>
      </c>
      <c r="G21" s="13"/>
      <c r="H21" s="13"/>
      <c r="I21" s="13"/>
      <c r="J21" s="13"/>
    </row>
    <row r="22" spans="1:10" ht="17.5">
      <c r="A22" s="203" t="s">
        <v>461</v>
      </c>
      <c r="B22" s="217">
        <v>4.2900000000000001E-2</v>
      </c>
      <c r="C22" s="214">
        <f>+C16</f>
        <v>0.91</v>
      </c>
      <c r="D22" s="204">
        <f>+B22*C22</f>
        <v>3.9039000000000004E-2</v>
      </c>
      <c r="E22" s="204">
        <f>+'Growth &amp; Inflation Rates'!$F$93</f>
        <v>4.1099999999999998E-2</v>
      </c>
      <c r="F22" s="205">
        <f>+D22+E22</f>
        <v>8.0139000000000002E-2</v>
      </c>
      <c r="G22" s="13"/>
      <c r="H22" s="13"/>
      <c r="I22" s="13"/>
      <c r="J22" s="13"/>
    </row>
    <row r="23" spans="1:10" ht="17.5">
      <c r="A23" s="203" t="s">
        <v>0</v>
      </c>
      <c r="B23" s="217" t="s">
        <v>0</v>
      </c>
      <c r="C23" s="215" t="s">
        <v>0</v>
      </c>
      <c r="D23" s="204" t="s">
        <v>0</v>
      </c>
      <c r="E23" s="204"/>
      <c r="F23" s="205" t="s">
        <v>0</v>
      </c>
      <c r="G23" s="13"/>
      <c r="H23" s="13"/>
      <c r="I23" s="13"/>
      <c r="J23" s="13"/>
    </row>
    <row r="24" spans="1:10" ht="17.5">
      <c r="A24" s="203" t="s">
        <v>242</v>
      </c>
      <c r="B24" s="217">
        <v>4.9399999999999999E-2</v>
      </c>
      <c r="C24" s="214">
        <f>+C16</f>
        <v>0.91</v>
      </c>
      <c r="D24" s="204">
        <f>+B24*C24</f>
        <v>4.4954000000000001E-2</v>
      </c>
      <c r="E24" s="204">
        <f>+'Growth &amp; Inflation Rates'!$F$93</f>
        <v>4.1099999999999998E-2</v>
      </c>
      <c r="F24" s="205">
        <f>+D24+E24</f>
        <v>8.6053999999999992E-2</v>
      </c>
      <c r="G24" s="13"/>
      <c r="H24" s="13"/>
      <c r="I24" s="13"/>
      <c r="J24" s="13"/>
    </row>
    <row r="25" spans="1:10" ht="17.5">
      <c r="A25" s="203" t="s">
        <v>0</v>
      </c>
      <c r="B25" s="217" t="s">
        <v>0</v>
      </c>
      <c r="C25" s="215" t="s">
        <v>0</v>
      </c>
      <c r="D25" s="204" t="s">
        <v>0</v>
      </c>
      <c r="E25" s="204"/>
      <c r="F25" s="205" t="s">
        <v>0</v>
      </c>
      <c r="G25" s="13"/>
      <c r="H25" s="13"/>
      <c r="I25" s="13"/>
      <c r="J25" s="13"/>
    </row>
    <row r="26" spans="1:10" ht="17.5">
      <c r="A26" s="203" t="s">
        <v>478</v>
      </c>
      <c r="B26" s="217">
        <v>5.7000000000000002E-2</v>
      </c>
      <c r="C26" s="214">
        <f>+C16</f>
        <v>0.91</v>
      </c>
      <c r="D26" s="204">
        <f>+B26*C26</f>
        <v>5.1870000000000006E-2</v>
      </c>
      <c r="E26" s="204">
        <f>+'Growth &amp; Inflation Rates'!$F$93</f>
        <v>4.1099999999999998E-2</v>
      </c>
      <c r="F26" s="205">
        <f>+D26+E26</f>
        <v>9.2969999999999997E-2</v>
      </c>
      <c r="G26" s="13"/>
      <c r="H26" s="13"/>
      <c r="I26" s="13"/>
      <c r="J26" s="13"/>
    </row>
    <row r="27" spans="1:10" ht="17.5">
      <c r="A27" s="203" t="s">
        <v>0</v>
      </c>
      <c r="B27" s="217" t="s">
        <v>0</v>
      </c>
      <c r="C27" s="215" t="s">
        <v>0</v>
      </c>
      <c r="D27" s="204" t="s">
        <v>0</v>
      </c>
      <c r="E27" s="204"/>
      <c r="F27" s="205" t="s">
        <v>0</v>
      </c>
      <c r="G27" s="13"/>
      <c r="H27" s="13"/>
      <c r="I27" s="13"/>
      <c r="J27" s="13"/>
    </row>
    <row r="28" spans="1:10" ht="17.5">
      <c r="A28" s="203" t="s">
        <v>243</v>
      </c>
      <c r="B28" s="217">
        <v>6.4500000000000002E-2</v>
      </c>
      <c r="C28" s="214">
        <f>+C16</f>
        <v>0.91</v>
      </c>
      <c r="D28" s="204">
        <f>+B28*C28</f>
        <v>5.8695000000000004E-2</v>
      </c>
      <c r="E28" s="204">
        <f>+'Growth &amp; Inflation Rates'!$F$93</f>
        <v>4.1099999999999998E-2</v>
      </c>
      <c r="F28" s="205">
        <f>+D28+E28</f>
        <v>9.9794999999999995E-2</v>
      </c>
      <c r="G28" s="13"/>
      <c r="H28" s="13"/>
      <c r="I28" s="13"/>
      <c r="J28" s="13"/>
    </row>
    <row r="29" spans="1:10" ht="17.5">
      <c r="A29" s="203" t="s">
        <v>244</v>
      </c>
      <c r="B29" s="217">
        <v>5.1900000000000002E-2</v>
      </c>
      <c r="C29" s="214">
        <f>+C16</f>
        <v>0.91</v>
      </c>
      <c r="D29" s="204">
        <f>+B29*C29</f>
        <v>4.7229E-2</v>
      </c>
      <c r="E29" s="204">
        <f>+'Growth &amp; Inflation Rates'!$F$93</f>
        <v>4.1099999999999998E-2</v>
      </c>
      <c r="F29" s="205">
        <f>+D29+E29</f>
        <v>8.8328999999999991E-2</v>
      </c>
      <c r="G29" s="13"/>
      <c r="H29" s="13"/>
      <c r="I29" s="13"/>
      <c r="J29" s="13"/>
    </row>
    <row r="30" spans="1:10" ht="17.5">
      <c r="A30" s="203"/>
      <c r="B30" s="217"/>
      <c r="C30" s="214"/>
      <c r="D30" s="204"/>
      <c r="E30" s="204"/>
      <c r="F30" s="205"/>
      <c r="G30" s="13"/>
      <c r="H30" s="13"/>
      <c r="I30" s="13"/>
      <c r="J30" s="13"/>
    </row>
    <row r="31" spans="1:10" ht="17.5">
      <c r="A31" s="203" t="s">
        <v>462</v>
      </c>
      <c r="B31" s="217">
        <v>7.17E-2</v>
      </c>
      <c r="C31" s="214">
        <f>+C16</f>
        <v>0.91</v>
      </c>
      <c r="D31" s="204">
        <f>+B31*C31</f>
        <v>6.5246999999999999E-2</v>
      </c>
      <c r="E31" s="204">
        <f>+'Growth &amp; Inflation Rates'!$F$93</f>
        <v>4.1099999999999998E-2</v>
      </c>
      <c r="F31" s="205">
        <f>+D31+E31</f>
        <v>0.106347</v>
      </c>
      <c r="G31" s="13"/>
      <c r="H31" s="13"/>
      <c r="I31" s="13"/>
      <c r="J31" s="13"/>
    </row>
    <row r="32" spans="1:10" ht="17.5">
      <c r="A32" s="203" t="s">
        <v>463</v>
      </c>
      <c r="B32" s="217">
        <v>6.2199999999999998E-2</v>
      </c>
      <c r="C32" s="214">
        <f>+C16</f>
        <v>0.91</v>
      </c>
      <c r="D32" s="204">
        <f>+B32*C32</f>
        <v>5.6602E-2</v>
      </c>
      <c r="E32" s="204">
        <f>+'Growth &amp; Inflation Rates'!$F$93</f>
        <v>4.1099999999999998E-2</v>
      </c>
      <c r="F32" s="205">
        <f>+D32+E32</f>
        <v>9.7701999999999997E-2</v>
      </c>
      <c r="G32" s="13"/>
      <c r="H32" s="13"/>
      <c r="I32" s="13"/>
      <c r="J32" s="13"/>
    </row>
    <row r="33" spans="1:10" ht="17.5">
      <c r="A33" s="203" t="s">
        <v>464</v>
      </c>
      <c r="B33" s="217">
        <v>5.5E-2</v>
      </c>
      <c r="C33" s="214">
        <f>+C16</f>
        <v>0.91</v>
      </c>
      <c r="D33" s="204">
        <f>+B33*C33</f>
        <v>5.0050000000000004E-2</v>
      </c>
      <c r="E33" s="204">
        <f>+'Growth &amp; Inflation Rates'!$F$93</f>
        <v>4.1099999999999998E-2</v>
      </c>
      <c r="F33" s="205">
        <f>+D33+E33</f>
        <v>9.1150000000000009E-2</v>
      </c>
      <c r="G33" s="13"/>
      <c r="H33" s="13"/>
      <c r="I33" s="13"/>
      <c r="J33" s="13"/>
    </row>
    <row r="34" spans="1:10" ht="17.5">
      <c r="A34" s="203"/>
      <c r="B34" s="217"/>
      <c r="C34" s="214"/>
      <c r="D34" s="204"/>
      <c r="E34" s="204"/>
      <c r="F34" s="205"/>
      <c r="G34" s="13"/>
      <c r="H34" s="13"/>
      <c r="I34" s="13"/>
      <c r="J34" s="13"/>
    </row>
    <row r="35" spans="1:10" ht="17.5">
      <c r="A35" s="203" t="s">
        <v>452</v>
      </c>
      <c r="B35" s="430">
        <v>0</v>
      </c>
      <c r="C35" s="433">
        <v>0</v>
      </c>
      <c r="D35" s="430">
        <v>0</v>
      </c>
      <c r="E35" s="430">
        <v>0</v>
      </c>
      <c r="F35" s="431">
        <v>0</v>
      </c>
      <c r="G35" s="13"/>
      <c r="H35" s="13"/>
      <c r="I35" s="13"/>
      <c r="J35" s="13"/>
    </row>
    <row r="36" spans="1:10" ht="17.5" thickBot="1">
      <c r="A36" s="397"/>
      <c r="B36" s="30"/>
      <c r="C36" s="30"/>
      <c r="D36" s="30"/>
      <c r="E36" s="30"/>
      <c r="F36" s="398"/>
      <c r="G36" s="13"/>
      <c r="H36" s="13"/>
      <c r="I36" s="13"/>
      <c r="J36" s="13"/>
    </row>
    <row r="37" spans="1:10" ht="17">
      <c r="A37" s="13"/>
      <c r="B37" s="13"/>
      <c r="C37" s="13"/>
      <c r="D37" s="13"/>
      <c r="E37" s="13"/>
      <c r="F37" s="13"/>
      <c r="G37" s="13"/>
      <c r="H37" s="13"/>
      <c r="I37" s="13"/>
      <c r="J37" s="13"/>
    </row>
    <row r="38" spans="1:10" ht="27" customHeight="1" thickBot="1">
      <c r="A38" s="13"/>
      <c r="B38" s="13"/>
      <c r="C38" s="13"/>
      <c r="D38" s="13"/>
      <c r="E38" s="13"/>
      <c r="F38" s="13"/>
      <c r="G38" s="13" t="s">
        <v>0</v>
      </c>
      <c r="H38" s="13"/>
      <c r="I38" s="13"/>
      <c r="J38" s="13"/>
    </row>
    <row r="39" spans="1:10" ht="18" thickBot="1">
      <c r="A39" s="166" t="s">
        <v>247</v>
      </c>
      <c r="B39" s="13"/>
      <c r="C39" s="13"/>
      <c r="D39" s="13"/>
      <c r="E39" s="13"/>
      <c r="F39" s="13"/>
      <c r="G39" s="13"/>
      <c r="H39" s="13"/>
      <c r="I39" s="13"/>
      <c r="J39" s="13"/>
    </row>
    <row r="40" spans="1:10" ht="42.5" thickBot="1">
      <c r="A40" s="165" t="s">
        <v>245</v>
      </c>
      <c r="B40" s="164" t="s">
        <v>237</v>
      </c>
      <c r="C40" s="163" t="s">
        <v>249</v>
      </c>
      <c r="D40" s="164" t="s">
        <v>240</v>
      </c>
      <c r="E40" s="164" t="s">
        <v>241</v>
      </c>
      <c r="F40" s="164" t="s">
        <v>438</v>
      </c>
      <c r="G40" s="162" t="s">
        <v>238</v>
      </c>
      <c r="H40" s="13"/>
      <c r="I40" s="13"/>
      <c r="J40" s="13"/>
    </row>
    <row r="41" spans="1:10" ht="17">
      <c r="A41" s="159"/>
      <c r="B41" s="119"/>
      <c r="C41" s="119"/>
      <c r="D41" s="119"/>
      <c r="E41" s="119"/>
      <c r="F41" s="119"/>
      <c r="G41" s="160"/>
      <c r="H41" s="13"/>
      <c r="I41" s="13"/>
      <c r="J41" s="13"/>
    </row>
    <row r="42" spans="1:10" ht="17.5">
      <c r="A42" s="203" t="s">
        <v>441</v>
      </c>
      <c r="B42" s="217">
        <f>+B16</f>
        <v>2.9100000000000001E-2</v>
      </c>
      <c r="C42" s="213">
        <f>+C16</f>
        <v>0.91</v>
      </c>
      <c r="D42" s="204">
        <f>+B42*C42*0.75</f>
        <v>1.986075E-2</v>
      </c>
      <c r="E42" s="217">
        <f>+B42*0.25</f>
        <v>7.2750000000000002E-3</v>
      </c>
      <c r="F42" s="204">
        <f>+E16</f>
        <v>4.1099999999999998E-2</v>
      </c>
      <c r="G42" s="205">
        <f>+D42+E42+F42</f>
        <v>6.8235749999999998E-2</v>
      </c>
      <c r="H42" s="13"/>
      <c r="I42" s="13"/>
      <c r="J42" s="13"/>
    </row>
    <row r="43" spans="1:10" ht="17.5">
      <c r="A43" s="203" t="s">
        <v>442</v>
      </c>
      <c r="B43" s="217">
        <f>+B17</f>
        <v>3.0800000000000001E-2</v>
      </c>
      <c r="C43" s="213">
        <f>+C16</f>
        <v>0.91</v>
      </c>
      <c r="D43" s="204">
        <f>+B43*C43*0.75</f>
        <v>2.1021000000000001E-2</v>
      </c>
      <c r="E43" s="217">
        <f>+B43*0.25</f>
        <v>7.7000000000000002E-3</v>
      </c>
      <c r="F43" s="204">
        <f>+E17</f>
        <v>4.1099999999999998E-2</v>
      </c>
      <c r="G43" s="205">
        <f>+D43+E43+F43</f>
        <v>6.9820999999999994E-2</v>
      </c>
      <c r="H43" s="13"/>
      <c r="I43" s="13"/>
      <c r="J43" s="13"/>
    </row>
    <row r="44" spans="1:10" ht="17.5">
      <c r="A44" s="206"/>
      <c r="B44" s="113"/>
      <c r="C44" s="113"/>
      <c r="D44" s="113"/>
      <c r="E44" s="113"/>
      <c r="F44" s="113"/>
      <c r="G44" s="207"/>
      <c r="H44" s="13"/>
      <c r="I44" s="13"/>
      <c r="J44" s="13"/>
    </row>
    <row r="45" spans="1:10" ht="17.5">
      <c r="A45" s="203" t="s">
        <v>459</v>
      </c>
      <c r="B45" s="217">
        <f>+B19</f>
        <v>4.5999999999999999E-2</v>
      </c>
      <c r="C45" s="213">
        <f>+C16</f>
        <v>0.91</v>
      </c>
      <c r="D45" s="204">
        <f>+B45*C45*0.75</f>
        <v>3.1394999999999999E-2</v>
      </c>
      <c r="E45" s="217">
        <f>+B45*0.25</f>
        <v>1.15E-2</v>
      </c>
      <c r="F45" s="204">
        <f>+E19</f>
        <v>4.1099999999999998E-2</v>
      </c>
      <c r="G45" s="205">
        <f>+D45+E45+F45</f>
        <v>8.3995E-2</v>
      </c>
      <c r="H45" s="13"/>
      <c r="I45" s="13"/>
      <c r="J45" s="13"/>
    </row>
    <row r="46" spans="1:10" ht="17.5">
      <c r="A46" s="203" t="str">
        <f>+A20</f>
        <v>Damodaran Implied ERP Ex Ante   Avg CF Yield Last 10 Yrs (3)</v>
      </c>
      <c r="B46" s="217">
        <f>+B20</f>
        <v>6.0699999999999997E-2</v>
      </c>
      <c r="C46" s="213">
        <f>+C16</f>
        <v>0.91</v>
      </c>
      <c r="D46" s="204">
        <f>+B46*C46*0.75</f>
        <v>4.1427749999999999E-2</v>
      </c>
      <c r="E46" s="217">
        <f>+B46*0.25</f>
        <v>1.5174999999999999E-2</v>
      </c>
      <c r="F46" s="204">
        <f>+E20</f>
        <v>4.1099999999999998E-2</v>
      </c>
      <c r="G46" s="205">
        <f>+D46+E46+F46</f>
        <v>9.7702750000000005E-2</v>
      </c>
      <c r="H46" s="13"/>
      <c r="I46" s="13"/>
      <c r="J46" s="13"/>
    </row>
    <row r="47" spans="1:10" ht="17.5">
      <c r="A47" s="203" t="s">
        <v>460</v>
      </c>
      <c r="B47" s="217">
        <f t="shared" ref="B47:B48" si="0">+B21</f>
        <v>4.4299999999999999E-2</v>
      </c>
      <c r="C47" s="213">
        <f>+C16</f>
        <v>0.91</v>
      </c>
      <c r="D47" s="204">
        <f>+B47*C47*0.75</f>
        <v>3.0234750000000001E-2</v>
      </c>
      <c r="E47" s="217">
        <f>+B47*0.25</f>
        <v>1.1075E-2</v>
      </c>
      <c r="F47" s="204">
        <f>+E21</f>
        <v>4.1099999999999998E-2</v>
      </c>
      <c r="G47" s="205">
        <f>+D47+E47+F47</f>
        <v>8.2409750000000004E-2</v>
      </c>
      <c r="H47" s="13"/>
      <c r="I47" s="13"/>
      <c r="J47" s="13"/>
    </row>
    <row r="48" spans="1:10" ht="17.5">
      <c r="A48" s="203" t="s">
        <v>461</v>
      </c>
      <c r="B48" s="217">
        <f t="shared" si="0"/>
        <v>4.2900000000000001E-2</v>
      </c>
      <c r="C48" s="213">
        <f>+C16</f>
        <v>0.91</v>
      </c>
      <c r="D48" s="204">
        <f>+B48*C48*0.75</f>
        <v>2.9279250000000003E-2</v>
      </c>
      <c r="E48" s="217">
        <f>+B48*0.25</f>
        <v>1.0725E-2</v>
      </c>
      <c r="F48" s="204">
        <f>+E22</f>
        <v>4.1099999999999998E-2</v>
      </c>
      <c r="G48" s="205">
        <f>+D48+E48+F48</f>
        <v>8.1104250000000003E-2</v>
      </c>
      <c r="H48" s="13"/>
      <c r="I48" s="13"/>
      <c r="J48" s="13"/>
    </row>
    <row r="49" spans="1:10" ht="17.5">
      <c r="A49" s="203" t="s">
        <v>0</v>
      </c>
      <c r="B49" s="217" t="s">
        <v>0</v>
      </c>
      <c r="C49" s="204" t="s">
        <v>0</v>
      </c>
      <c r="D49" s="204" t="s">
        <v>0</v>
      </c>
      <c r="E49" s="217" t="s">
        <v>0</v>
      </c>
      <c r="F49" s="204" t="s">
        <v>0</v>
      </c>
      <c r="G49" s="205" t="s">
        <v>0</v>
      </c>
      <c r="H49" s="13"/>
      <c r="I49" s="13"/>
      <c r="J49" s="13"/>
    </row>
    <row r="50" spans="1:10" ht="17.5">
      <c r="A50" s="203" t="s">
        <v>242</v>
      </c>
      <c r="B50" s="217">
        <f>+B24</f>
        <v>4.9399999999999999E-2</v>
      </c>
      <c r="C50" s="213">
        <f>+C16</f>
        <v>0.91</v>
      </c>
      <c r="D50" s="204">
        <f>+B50*C50*0.75</f>
        <v>3.3715500000000002E-2</v>
      </c>
      <c r="E50" s="217">
        <f>+B50*0.25</f>
        <v>1.235E-2</v>
      </c>
      <c r="F50" s="204">
        <f>+E24</f>
        <v>4.1099999999999998E-2</v>
      </c>
      <c r="G50" s="205">
        <f>+D50+E50+F50</f>
        <v>8.7165500000000007E-2</v>
      </c>
    </row>
    <row r="51" spans="1:10" ht="17.5">
      <c r="A51" s="203" t="s">
        <v>0</v>
      </c>
      <c r="B51" s="217" t="s">
        <v>0</v>
      </c>
      <c r="C51" s="204" t="s">
        <v>0</v>
      </c>
      <c r="D51" s="204" t="s">
        <v>0</v>
      </c>
      <c r="E51" s="217" t="s">
        <v>0</v>
      </c>
      <c r="F51" s="204" t="s">
        <v>0</v>
      </c>
      <c r="G51" s="205" t="s">
        <v>0</v>
      </c>
    </row>
    <row r="52" spans="1:10" ht="17.5">
      <c r="A52" s="203" t="s">
        <v>478</v>
      </c>
      <c r="B52" s="217">
        <f>+B26</f>
        <v>5.7000000000000002E-2</v>
      </c>
      <c r="C52" s="213">
        <f>+C16</f>
        <v>0.91</v>
      </c>
      <c r="D52" s="204">
        <f>+B52*C52*0.75</f>
        <v>3.8902500000000007E-2</v>
      </c>
      <c r="E52" s="217">
        <f>+B52*0.25</f>
        <v>1.4250000000000001E-2</v>
      </c>
      <c r="F52" s="204">
        <f>+E26</f>
        <v>4.1099999999999998E-2</v>
      </c>
      <c r="G52" s="205">
        <f>+D52+E52+F52</f>
        <v>9.4252500000000003E-2</v>
      </c>
    </row>
    <row r="53" spans="1:10" ht="17.5">
      <c r="A53" s="203" t="s">
        <v>0</v>
      </c>
      <c r="B53" s="217" t="s">
        <v>0</v>
      </c>
      <c r="C53" s="204" t="s">
        <v>0</v>
      </c>
      <c r="D53" s="204" t="s">
        <v>0</v>
      </c>
      <c r="E53" s="217" t="s">
        <v>0</v>
      </c>
      <c r="F53" s="204" t="s">
        <v>0</v>
      </c>
      <c r="G53" s="205" t="s">
        <v>0</v>
      </c>
    </row>
    <row r="54" spans="1:10" ht="17.5">
      <c r="A54" s="203" t="s">
        <v>243</v>
      </c>
      <c r="B54" s="217">
        <f>+B28</f>
        <v>6.4500000000000002E-2</v>
      </c>
      <c r="C54" s="213">
        <f>+C16</f>
        <v>0.91</v>
      </c>
      <c r="D54" s="204">
        <f>+B54*C54*0.75</f>
        <v>4.4021250000000005E-2</v>
      </c>
      <c r="E54" s="217">
        <f>+B54*0.25</f>
        <v>1.6125E-2</v>
      </c>
      <c r="F54" s="204">
        <f>+E28</f>
        <v>4.1099999999999998E-2</v>
      </c>
      <c r="G54" s="205">
        <f>+D54+E54+F54</f>
        <v>0.10124625000000001</v>
      </c>
    </row>
    <row r="55" spans="1:10" ht="17.5">
      <c r="A55" s="203" t="s">
        <v>244</v>
      </c>
      <c r="B55" s="217">
        <f>+B29</f>
        <v>5.1900000000000002E-2</v>
      </c>
      <c r="C55" s="213">
        <f>+C16</f>
        <v>0.91</v>
      </c>
      <c r="D55" s="204">
        <f>+B55*C55*0.75</f>
        <v>3.5421750000000002E-2</v>
      </c>
      <c r="E55" s="217">
        <f>+B55*0.25</f>
        <v>1.2975E-2</v>
      </c>
      <c r="F55" s="204">
        <f>+E29</f>
        <v>4.1099999999999998E-2</v>
      </c>
      <c r="G55" s="205">
        <f>+D55+E55+F55</f>
        <v>8.949675E-2</v>
      </c>
    </row>
    <row r="56" spans="1:10" ht="17.5">
      <c r="A56" s="203"/>
      <c r="B56" s="217"/>
      <c r="C56" s="213"/>
      <c r="D56" s="204"/>
      <c r="E56" s="217"/>
      <c r="F56" s="204"/>
      <c r="G56" s="205"/>
    </row>
    <row r="57" spans="1:10" ht="17.5">
      <c r="A57" s="203" t="s">
        <v>462</v>
      </c>
      <c r="B57" s="217">
        <f>+B31</f>
        <v>7.17E-2</v>
      </c>
      <c r="C57" s="213">
        <f>+C16</f>
        <v>0.91</v>
      </c>
      <c r="D57" s="204">
        <f>+B57*C57*0.75</f>
        <v>4.893525E-2</v>
      </c>
      <c r="E57" s="217">
        <f>+B57*0.25</f>
        <v>1.7925E-2</v>
      </c>
      <c r="F57" s="204">
        <f>+E31</f>
        <v>4.1099999999999998E-2</v>
      </c>
      <c r="G57" s="205">
        <f>+D57+E57+F57</f>
        <v>0.10796024999999999</v>
      </c>
    </row>
    <row r="58" spans="1:10" ht="17.5">
      <c r="A58" s="203" t="s">
        <v>463</v>
      </c>
      <c r="B58" s="217">
        <f>+B32</f>
        <v>6.2199999999999998E-2</v>
      </c>
      <c r="C58" s="213">
        <f>+C16</f>
        <v>0.91</v>
      </c>
      <c r="D58" s="204">
        <f>+B58*C58*0.75</f>
        <v>4.2451500000000003E-2</v>
      </c>
      <c r="E58" s="217">
        <f>+B58*0.25</f>
        <v>1.555E-2</v>
      </c>
      <c r="F58" s="204">
        <f>+E32</f>
        <v>4.1099999999999998E-2</v>
      </c>
      <c r="G58" s="205">
        <f>+D58+E58+F58</f>
        <v>9.9101500000000009E-2</v>
      </c>
    </row>
    <row r="59" spans="1:10" ht="17.5">
      <c r="A59" s="203" t="s">
        <v>464</v>
      </c>
      <c r="B59" s="217">
        <f>+B33</f>
        <v>5.5E-2</v>
      </c>
      <c r="C59" s="213">
        <f>+C16</f>
        <v>0.91</v>
      </c>
      <c r="D59" s="204">
        <f>+B59*C59*0.75</f>
        <v>3.7537500000000001E-2</v>
      </c>
      <c r="E59" s="217">
        <f>+B59*0.25</f>
        <v>1.375E-2</v>
      </c>
      <c r="F59" s="204">
        <f>+E33</f>
        <v>4.1099999999999998E-2</v>
      </c>
      <c r="G59" s="205">
        <f>+D59+E59+F59</f>
        <v>9.2387499999999997E-2</v>
      </c>
    </row>
    <row r="60" spans="1:10" ht="17.5">
      <c r="A60" s="203"/>
      <c r="B60" s="217"/>
      <c r="C60" s="213"/>
      <c r="D60" s="204"/>
      <c r="E60" s="217"/>
      <c r="F60" s="204"/>
      <c r="G60" s="205"/>
    </row>
    <row r="61" spans="1:10" ht="17.5">
      <c r="A61" s="203" t="s">
        <v>452</v>
      </c>
      <c r="B61" s="217">
        <f>+B35</f>
        <v>0</v>
      </c>
      <c r="C61" s="433">
        <v>0</v>
      </c>
      <c r="D61" s="204">
        <f>+B61*C61*0.75</f>
        <v>0</v>
      </c>
      <c r="E61" s="217">
        <f>+B61*0.25</f>
        <v>0</v>
      </c>
      <c r="F61" s="204">
        <f>+E35</f>
        <v>0</v>
      </c>
      <c r="G61" s="205">
        <f>+D61+E61+F61</f>
        <v>0</v>
      </c>
    </row>
    <row r="62" spans="1:10" ht="15" thickBot="1">
      <c r="A62" s="399"/>
      <c r="B62" s="157"/>
      <c r="C62" s="157"/>
      <c r="D62" s="157"/>
      <c r="E62" s="157"/>
      <c r="F62" s="157"/>
      <c r="G62" s="400"/>
    </row>
    <row r="64" spans="1:10" ht="17.5">
      <c r="A64" s="65" t="s">
        <v>90</v>
      </c>
      <c r="E64" s="216" t="s">
        <v>0</v>
      </c>
    </row>
    <row r="65" spans="1:7" ht="17">
      <c r="A65" s="45" t="s">
        <v>0</v>
      </c>
      <c r="E65" s="216" t="s">
        <v>0</v>
      </c>
    </row>
    <row r="66" spans="1:7" ht="17">
      <c r="A66" s="45" t="s">
        <v>453</v>
      </c>
      <c r="B66" s="13"/>
      <c r="C66" s="13"/>
      <c r="D66" s="13"/>
      <c r="E66" s="13"/>
      <c r="F66" s="13"/>
      <c r="G66" s="13"/>
    </row>
    <row r="67" spans="1:7" ht="17">
      <c r="A67" s="45" t="s">
        <v>0</v>
      </c>
      <c r="B67" s="13"/>
      <c r="C67" s="13"/>
      <c r="D67" s="13"/>
      <c r="E67" s="13"/>
      <c r="F67" s="13"/>
      <c r="G67" s="13"/>
    </row>
    <row r="68" spans="1:7" ht="17">
      <c r="A68" s="45" t="s">
        <v>520</v>
      </c>
      <c r="B68" s="13"/>
      <c r="C68" s="13"/>
      <c r="D68" s="13"/>
      <c r="E68" s="13"/>
      <c r="F68" s="13"/>
      <c r="G68" s="13"/>
    </row>
    <row r="69" spans="1:7" ht="17">
      <c r="A69" s="425" t="s">
        <v>454</v>
      </c>
      <c r="C69" s="13"/>
      <c r="D69" s="13"/>
      <c r="E69" s="13"/>
      <c r="F69" s="13"/>
      <c r="G69" s="13"/>
    </row>
    <row r="70" spans="1:7" ht="17">
      <c r="A70" s="45" t="s">
        <v>0</v>
      </c>
      <c r="B70" s="13"/>
      <c r="C70" s="13"/>
      <c r="D70" s="13"/>
      <c r="E70" s="13"/>
      <c r="F70" s="13"/>
      <c r="G70" s="13"/>
    </row>
    <row r="71" spans="1:7" ht="17">
      <c r="A71" s="45" t="s">
        <v>521</v>
      </c>
      <c r="B71" s="13"/>
      <c r="C71" s="13"/>
      <c r="D71" s="13"/>
      <c r="E71" s="13"/>
      <c r="F71" s="13"/>
      <c r="G71" s="13"/>
    </row>
    <row r="72" spans="1:7" ht="17">
      <c r="A72" s="425" t="s">
        <v>455</v>
      </c>
      <c r="B72" s="13"/>
      <c r="C72" s="13"/>
      <c r="D72" s="13"/>
      <c r="E72" s="13"/>
      <c r="F72" s="13" t="s">
        <v>0</v>
      </c>
      <c r="G72" s="13"/>
    </row>
    <row r="73" spans="1:7" ht="17">
      <c r="A73" s="45"/>
      <c r="B73" s="13"/>
      <c r="C73" s="13"/>
      <c r="D73" s="13"/>
      <c r="E73" s="13"/>
      <c r="F73" s="13"/>
      <c r="G73" s="13"/>
    </row>
    <row r="74" spans="1:7" ht="17">
      <c r="A74" s="45" t="s">
        <v>522</v>
      </c>
      <c r="B74" s="13"/>
      <c r="C74" s="13"/>
      <c r="D74" s="13"/>
      <c r="E74" s="13"/>
      <c r="F74" s="13"/>
      <c r="G74" s="13"/>
    </row>
    <row r="75" spans="1:7" ht="17">
      <c r="A75" s="425" t="s">
        <v>523</v>
      </c>
      <c r="B75" s="13"/>
      <c r="C75" s="13"/>
      <c r="D75" s="13"/>
      <c r="E75" s="13"/>
      <c r="F75" s="13"/>
      <c r="G75" s="13"/>
    </row>
    <row r="76" spans="1:7" ht="17">
      <c r="A76" s="45"/>
      <c r="B76" s="13"/>
      <c r="C76" s="13"/>
      <c r="D76" s="13"/>
      <c r="E76" s="13"/>
      <c r="F76" s="13"/>
      <c r="G76" s="13"/>
    </row>
    <row r="77" spans="1:7" ht="17">
      <c r="A77" s="45" t="s">
        <v>524</v>
      </c>
      <c r="B77" s="13"/>
      <c r="C77" s="13"/>
      <c r="D77" s="13"/>
      <c r="E77" s="13"/>
      <c r="F77" s="13"/>
      <c r="G77" s="13"/>
    </row>
    <row r="78" spans="1:7" ht="17">
      <c r="A78" s="425" t="s">
        <v>456</v>
      </c>
      <c r="B78" s="13"/>
      <c r="C78" s="13"/>
      <c r="D78" s="13"/>
      <c r="E78" s="13"/>
      <c r="F78" s="13"/>
      <c r="G78" s="13"/>
    </row>
    <row r="79" spans="1:7" ht="17">
      <c r="A79" s="45"/>
    </row>
    <row r="80" spans="1:7" ht="17">
      <c r="A80" s="45" t="s">
        <v>525</v>
      </c>
    </row>
    <row r="81" spans="1:7" ht="17">
      <c r="A81" s="45" t="s">
        <v>0</v>
      </c>
    </row>
    <row r="82" spans="1:7" ht="17">
      <c r="A82" s="45" t="s">
        <v>526</v>
      </c>
    </row>
    <row r="83" spans="1:7" ht="17">
      <c r="A83" s="425" t="s">
        <v>457</v>
      </c>
    </row>
    <row r="84" spans="1:7" ht="21.5" thickBot="1">
      <c r="A84" s="158"/>
      <c r="B84" s="158"/>
      <c r="C84" s="158"/>
      <c r="D84" s="30"/>
      <c r="E84" s="38"/>
      <c r="F84" s="30"/>
      <c r="G84" s="157"/>
    </row>
  </sheetData>
  <hyperlinks>
    <hyperlink ref="A83" r:id="rId1" xr:uid="{F81E503F-23D5-4651-8695-1216210CBA3B}"/>
    <hyperlink ref="A78" r:id="rId2" xr:uid="{D5B25C34-C915-4B2E-8218-E24B94363383}"/>
    <hyperlink ref="A69" r:id="rId3" xr:uid="{10157196-FF46-4248-B624-96C5F60CE3BE}"/>
    <hyperlink ref="A72" r:id="rId4" xr:uid="{C19251B2-3CE8-4D91-BFC2-BEE2060FE477}"/>
    <hyperlink ref="A75" r:id="rId5" xr:uid="{D1A69325-91AC-4F7E-A937-7767F63639B0}"/>
  </hyperlinks>
  <pageMargins left="0.25" right="0.25" top="0.75" bottom="0.75" header="0.3" footer="0.3"/>
  <pageSetup scale="39"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50"/>
  <sheetViews>
    <sheetView view="pageBreakPreview" topLeftCell="A5" zoomScale="70" zoomScaleNormal="80" zoomScaleSheetLayoutView="70" workbookViewId="0">
      <selection activeCell="I37" sqref="I37"/>
    </sheetView>
  </sheetViews>
  <sheetFormatPr defaultRowHeight="14.5"/>
  <cols>
    <col min="1" max="1" width="45.1796875" customWidth="1"/>
    <col min="2" max="2" width="10.81640625" bestFit="1" customWidth="1"/>
    <col min="3" max="3" width="26.1796875"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5" t="s">
        <v>1</v>
      </c>
      <c r="B1" s="13"/>
      <c r="C1" s="13"/>
      <c r="D1" s="13"/>
      <c r="E1" s="13"/>
      <c r="F1" s="13"/>
      <c r="G1" s="13"/>
      <c r="H1" s="13"/>
      <c r="I1" s="13"/>
      <c r="J1" s="13"/>
      <c r="K1" s="13"/>
    </row>
    <row r="2" spans="1:11" ht="17.5">
      <c r="A2" s="26" t="s">
        <v>9</v>
      </c>
      <c r="B2" s="13"/>
      <c r="C2" s="13"/>
      <c r="D2" s="13"/>
      <c r="E2" s="13"/>
      <c r="F2" s="13"/>
      <c r="G2" s="13"/>
      <c r="H2" s="13"/>
      <c r="I2" s="13"/>
      <c r="J2" s="13"/>
      <c r="K2" s="13"/>
    </row>
    <row r="3" spans="1:11" ht="17">
      <c r="A3" s="27" t="s">
        <v>487</v>
      </c>
      <c r="B3" s="13"/>
      <c r="C3" s="13"/>
      <c r="D3" s="13"/>
      <c r="E3" s="13"/>
      <c r="F3" s="13"/>
      <c r="G3" s="13"/>
      <c r="H3" s="13"/>
      <c r="I3" s="13"/>
      <c r="J3" s="13"/>
      <c r="K3" s="13"/>
    </row>
    <row r="4" spans="1:11" ht="17">
      <c r="A4" s="27"/>
      <c r="B4" s="13"/>
      <c r="C4" s="13"/>
      <c r="D4" s="13"/>
      <c r="E4" s="13"/>
      <c r="F4" s="13"/>
      <c r="G4" s="13"/>
      <c r="H4" s="13"/>
      <c r="I4" s="13"/>
      <c r="J4" s="13"/>
      <c r="K4" s="13"/>
    </row>
    <row r="5" spans="1:11" ht="17.5" thickBot="1">
      <c r="A5" s="13"/>
      <c r="B5" s="13"/>
      <c r="C5" s="13"/>
      <c r="D5" s="13"/>
      <c r="E5" s="13"/>
      <c r="F5" s="13"/>
      <c r="G5" s="13"/>
      <c r="H5" s="28"/>
      <c r="I5" s="13"/>
      <c r="J5" s="13"/>
      <c r="K5" s="13"/>
    </row>
    <row r="6" spans="1:11" ht="18" thickBot="1">
      <c r="A6" s="274" t="str">
        <f>+'S&amp;D'!A12</f>
        <v>Natural Gas Utility Distribution</v>
      </c>
      <c r="B6" s="202"/>
      <c r="C6" s="13"/>
      <c r="D6" s="30"/>
      <c r="E6" s="30"/>
      <c r="F6" s="30"/>
      <c r="G6" s="31" t="s">
        <v>0</v>
      </c>
      <c r="H6" s="30"/>
      <c r="I6" s="13"/>
      <c r="J6" s="13"/>
      <c r="K6" s="13"/>
    </row>
    <row r="7" spans="1:11" ht="25.5">
      <c r="A7" s="32"/>
      <c r="B7" s="13"/>
      <c r="C7" s="13"/>
      <c r="D7" s="13"/>
      <c r="E7" s="13"/>
      <c r="F7" s="33" t="s">
        <v>198</v>
      </c>
      <c r="G7" s="13"/>
      <c r="H7" s="13"/>
      <c r="I7" s="13"/>
      <c r="J7" s="13"/>
      <c r="K7" s="13"/>
    </row>
    <row r="8" spans="1:11" ht="21.5" thickBot="1">
      <c r="A8" s="32"/>
      <c r="B8" s="13"/>
      <c r="C8" s="13"/>
      <c r="D8" s="30"/>
      <c r="E8" s="30"/>
      <c r="F8" s="38" t="s">
        <v>488</v>
      </c>
      <c r="G8" s="30"/>
      <c r="H8" s="30"/>
      <c r="I8" s="13"/>
      <c r="J8" s="13"/>
      <c r="K8" s="13"/>
    </row>
    <row r="9" spans="1:11" ht="17.5" thickBot="1">
      <c r="A9" s="35" t="s">
        <v>0</v>
      </c>
      <c r="B9" s="35" t="s">
        <v>0</v>
      </c>
      <c r="C9" s="35" t="s">
        <v>0</v>
      </c>
      <c r="D9" s="30"/>
      <c r="E9" s="35"/>
      <c r="F9" s="35" t="s">
        <v>0</v>
      </c>
      <c r="G9" s="35"/>
      <c r="H9" s="30"/>
      <c r="I9" s="30"/>
      <c r="J9" s="30"/>
      <c r="K9" s="13"/>
    </row>
    <row r="10" spans="1:11" ht="17">
      <c r="A10" s="36" t="s">
        <v>0</v>
      </c>
      <c r="B10" s="36" t="s">
        <v>3</v>
      </c>
      <c r="C10" s="36" t="s">
        <v>5</v>
      </c>
      <c r="D10" s="36" t="s">
        <v>186</v>
      </c>
      <c r="E10" s="36" t="s">
        <v>12</v>
      </c>
      <c r="F10" s="36" t="s">
        <v>199</v>
      </c>
      <c r="G10" s="36" t="s">
        <v>200</v>
      </c>
      <c r="H10" s="36" t="s">
        <v>200</v>
      </c>
      <c r="I10" s="36" t="s">
        <v>195</v>
      </c>
      <c r="J10" s="36" t="s">
        <v>195</v>
      </c>
      <c r="K10" s="13"/>
    </row>
    <row r="11" spans="1:11" ht="17">
      <c r="A11" s="36" t="s">
        <v>2</v>
      </c>
      <c r="B11" s="36" t="s">
        <v>4</v>
      </c>
      <c r="C11" s="36" t="s">
        <v>6</v>
      </c>
      <c r="D11" s="36" t="s">
        <v>228</v>
      </c>
      <c r="E11" s="36" t="s">
        <v>14</v>
      </c>
      <c r="F11" s="36" t="s">
        <v>403</v>
      </c>
      <c r="G11" s="36" t="s">
        <v>229</v>
      </c>
      <c r="H11" s="36" t="s">
        <v>230</v>
      </c>
      <c r="I11" s="36" t="s">
        <v>189</v>
      </c>
      <c r="J11" s="36" t="s">
        <v>193</v>
      </c>
      <c r="K11" s="13"/>
    </row>
    <row r="12" spans="1:11" ht="17">
      <c r="A12" s="36"/>
      <c r="B12" s="36"/>
      <c r="C12" s="36"/>
      <c r="D12" s="36"/>
      <c r="E12" s="36"/>
      <c r="F12" s="37" t="s">
        <v>0</v>
      </c>
      <c r="G12" s="37" t="s">
        <v>531</v>
      </c>
      <c r="H12" s="37" t="s">
        <v>531</v>
      </c>
      <c r="I12" s="36"/>
      <c r="J12" s="36"/>
      <c r="K12" s="13"/>
    </row>
    <row r="13" spans="1:11" ht="17.5" thickBot="1">
      <c r="A13" s="38" t="s">
        <v>0</v>
      </c>
      <c r="B13" s="39" t="s">
        <v>108</v>
      </c>
      <c r="C13" s="39" t="s">
        <v>109</v>
      </c>
      <c r="D13" s="39" t="s">
        <v>110</v>
      </c>
      <c r="E13" s="39" t="s">
        <v>111</v>
      </c>
      <c r="F13" s="39" t="s">
        <v>112</v>
      </c>
      <c r="G13" s="39" t="s">
        <v>113</v>
      </c>
      <c r="H13" s="39" t="s">
        <v>114</v>
      </c>
      <c r="I13" s="39" t="s">
        <v>196</v>
      </c>
      <c r="J13" s="39" t="s">
        <v>197</v>
      </c>
      <c r="K13" s="13"/>
    </row>
    <row r="14" spans="1:11" ht="17">
      <c r="A14" s="40" t="s">
        <v>7</v>
      </c>
      <c r="B14" s="40" t="s">
        <v>7</v>
      </c>
      <c r="C14" s="40" t="s">
        <v>7</v>
      </c>
      <c r="D14" s="41" t="s">
        <v>132</v>
      </c>
      <c r="E14" s="41"/>
      <c r="F14" s="40" t="s">
        <v>7</v>
      </c>
      <c r="G14" s="40" t="s">
        <v>7</v>
      </c>
      <c r="H14" s="40" t="s">
        <v>7</v>
      </c>
      <c r="I14" s="40" t="s">
        <v>0</v>
      </c>
      <c r="J14" s="40" t="s">
        <v>0</v>
      </c>
      <c r="K14" s="13"/>
    </row>
    <row r="15" spans="1:11" ht="17">
      <c r="A15" s="36"/>
      <c r="B15" s="36"/>
      <c r="C15" s="36"/>
      <c r="D15" s="36"/>
      <c r="E15" s="36"/>
      <c r="F15" s="36"/>
      <c r="G15" s="36"/>
      <c r="H15" s="13"/>
      <c r="I15" s="13"/>
      <c r="J15" s="13"/>
      <c r="K15" s="13"/>
    </row>
    <row r="16" spans="1:11" ht="17">
      <c r="A16" s="13"/>
      <c r="B16" s="13"/>
      <c r="C16" s="13"/>
      <c r="D16" s="13"/>
      <c r="E16" s="13"/>
      <c r="F16" s="13"/>
      <c r="G16" s="13"/>
      <c r="H16" s="13"/>
      <c r="I16" s="13"/>
      <c r="J16" s="13"/>
      <c r="K16" s="13"/>
    </row>
    <row r="17" spans="1:11" ht="17.5">
      <c r="A17" s="45" t="str">
        <f>+'S&amp;D'!A22</f>
        <v>Atmos Energy Corp</v>
      </c>
      <c r="B17" s="36" t="str">
        <f>+'S&amp;D'!B22</f>
        <v>ATO</v>
      </c>
      <c r="C17" s="36" t="str">
        <f>+'S&amp;D'!C22</f>
        <v>Gas Utility</v>
      </c>
      <c r="D17" s="62">
        <f>+'S&amp;D'!G22</f>
        <v>115.9</v>
      </c>
      <c r="E17" s="63">
        <f>+'S&amp;D'!D42</f>
        <v>17481706612.299999</v>
      </c>
      <c r="F17" s="56">
        <f>+'Dividends '!H16</f>
        <v>2.985332182916307E-2</v>
      </c>
      <c r="G17" s="56">
        <v>7.4999999999999997E-2</v>
      </c>
      <c r="H17" s="56">
        <v>7.0000000000000007E-2</v>
      </c>
      <c r="I17" s="371">
        <f>+F17+G17</f>
        <v>0.10485332182916307</v>
      </c>
      <c r="J17" s="371">
        <f>+F17+H17</f>
        <v>9.985332182916308E-2</v>
      </c>
      <c r="K17" s="13"/>
    </row>
    <row r="18" spans="1:11" ht="17.5">
      <c r="A18" s="45" t="str">
        <f>+'S&amp;D'!A23</f>
        <v>Black Hills Corporation</v>
      </c>
      <c r="B18" s="36" t="str">
        <f>+'S&amp;D'!B23</f>
        <v>BKH</v>
      </c>
      <c r="C18" s="36" t="str">
        <f>+'S&amp;D'!C23</f>
        <v>Electric Utility - West</v>
      </c>
      <c r="D18" s="62">
        <f>+'S&amp;D'!G23</f>
        <v>53.95</v>
      </c>
      <c r="E18" s="63">
        <f>+'S&amp;D'!D43</f>
        <v>3679226477.5500002</v>
      </c>
      <c r="F18" s="56">
        <f>+'Dividends '!H17</f>
        <v>5.0046339202965709E-2</v>
      </c>
      <c r="G18" s="56">
        <v>0.04</v>
      </c>
      <c r="H18" s="56">
        <v>3.5000000000000003E-2</v>
      </c>
      <c r="I18" s="371">
        <f t="shared" ref="I18:I27" si="0">+F18+G18</f>
        <v>9.0046339202965703E-2</v>
      </c>
      <c r="J18" s="371">
        <f t="shared" ref="J18:J27" si="1">+F18+H18</f>
        <v>8.5046339202965712E-2</v>
      </c>
      <c r="K18" s="13"/>
    </row>
    <row r="19" spans="1:11" ht="17.5">
      <c r="A19" s="45" t="str">
        <f>+'S&amp;D'!A24</f>
        <v>CenterPoint Energy Inc.</v>
      </c>
      <c r="B19" s="36" t="str">
        <f>+'S&amp;D'!B24</f>
        <v>CNP</v>
      </c>
      <c r="C19" s="36" t="str">
        <f>+'S&amp;D'!C24</f>
        <v>Electric Utility - Central</v>
      </c>
      <c r="D19" s="62">
        <f>+'S&amp;D'!G24</f>
        <v>28.57</v>
      </c>
      <c r="E19" s="63">
        <f>+'S&amp;D'!D44</f>
        <v>18034121934.529999</v>
      </c>
      <c r="F19" s="56">
        <f>+'Dividends '!H18</f>
        <v>3.1151557577878894E-2</v>
      </c>
      <c r="G19" s="56">
        <v>0.03</v>
      </c>
      <c r="H19" s="56">
        <v>0.06</v>
      </c>
      <c r="I19" s="371">
        <f t="shared" si="0"/>
        <v>6.1151557577878893E-2</v>
      </c>
      <c r="J19" s="371">
        <f t="shared" si="1"/>
        <v>9.1151557577878892E-2</v>
      </c>
      <c r="K19" s="13"/>
    </row>
    <row r="20" spans="1:11" ht="17.5">
      <c r="A20" s="45" t="str">
        <f>+'S&amp;D'!A25</f>
        <v>CMS Energy Corporation</v>
      </c>
      <c r="B20" s="36" t="str">
        <f>+'S&amp;D'!B25</f>
        <v>CMS</v>
      </c>
      <c r="C20" s="36" t="str">
        <f>+'S&amp;D'!C25</f>
        <v>Electric Utility - Central</v>
      </c>
      <c r="D20" s="62">
        <f>+'S&amp;D'!G25</f>
        <v>58.07</v>
      </c>
      <c r="E20" s="63">
        <f>+'S&amp;D'!D45</f>
        <v>1709813080</v>
      </c>
      <c r="F20" s="56">
        <f>+'Dividends '!H19</f>
        <v>3.719648699845015E-2</v>
      </c>
      <c r="G20" s="56">
        <v>0.04</v>
      </c>
      <c r="H20" s="56">
        <v>0.05</v>
      </c>
      <c r="I20" s="371">
        <f t="shared" si="0"/>
        <v>7.7196486998450151E-2</v>
      </c>
      <c r="J20" s="371">
        <f t="shared" si="1"/>
        <v>8.7196486998450146E-2</v>
      </c>
      <c r="K20" s="13"/>
    </row>
    <row r="21" spans="1:11" ht="17.5">
      <c r="A21" s="45" t="str">
        <f>+'S&amp;D'!A26</f>
        <v>New Jersey Resources Corp</v>
      </c>
      <c r="B21" s="36" t="str">
        <f>+'S&amp;D'!B26</f>
        <v>NJR</v>
      </c>
      <c r="C21" s="36" t="str">
        <f>+'S&amp;D'!C26</f>
        <v>Gas Utility</v>
      </c>
      <c r="D21" s="62">
        <f>+'S&amp;D'!G26</f>
        <v>44.58</v>
      </c>
      <c r="E21" s="63">
        <f>+'S&amp;D'!D46</f>
        <v>4377156176.0999994</v>
      </c>
      <c r="F21" s="56">
        <f>+'Dividends '!H20</f>
        <v>3.9479587258860478E-2</v>
      </c>
      <c r="G21" s="56">
        <v>0.05</v>
      </c>
      <c r="H21" s="56">
        <v>0.05</v>
      </c>
      <c r="I21" s="371">
        <f t="shared" si="0"/>
        <v>8.9479587258860488E-2</v>
      </c>
      <c r="J21" s="371">
        <f t="shared" si="1"/>
        <v>8.9479587258860488E-2</v>
      </c>
      <c r="K21" s="13"/>
    </row>
    <row r="22" spans="1:11" ht="17.5">
      <c r="A22" s="45" t="str">
        <f>+'S&amp;D'!A27</f>
        <v>NISOURCE Inc.</v>
      </c>
      <c r="B22" s="36" t="str">
        <f>+'S&amp;D'!B27</f>
        <v>NI</v>
      </c>
      <c r="C22" s="36" t="str">
        <f>+'S&amp;D'!C27</f>
        <v>Gas Utility</v>
      </c>
      <c r="D22" s="62">
        <f>+'S&amp;D'!G27</f>
        <v>26.55</v>
      </c>
      <c r="E22" s="63">
        <f>+'S&amp;D'!D47</f>
        <v>11877983365.050001</v>
      </c>
      <c r="F22" s="56">
        <f>+'Dividends '!H21</f>
        <v>4.2184557438794727E-2</v>
      </c>
      <c r="G22" s="56">
        <v>4.4999999999999998E-2</v>
      </c>
      <c r="H22" s="56">
        <v>9.5000000000000001E-2</v>
      </c>
      <c r="I22" s="371">
        <f t="shared" si="0"/>
        <v>8.7184557438794719E-2</v>
      </c>
      <c r="J22" s="371">
        <f t="shared" si="1"/>
        <v>0.13718455743879474</v>
      </c>
      <c r="K22" s="13"/>
    </row>
    <row r="23" spans="1:11" ht="17.5">
      <c r="A23" s="45" t="str">
        <f>+'S&amp;D'!A28</f>
        <v xml:space="preserve">Northwest Natural Holding Company </v>
      </c>
      <c r="B23" s="36" t="str">
        <f>+'S&amp;D'!B28</f>
        <v>NWN</v>
      </c>
      <c r="C23" s="36" t="str">
        <f>+'S&amp;D'!C28</f>
        <v>Gas Utility</v>
      </c>
      <c r="D23" s="62">
        <f>+'S&amp;D'!G28</f>
        <v>38.94</v>
      </c>
      <c r="E23" s="63">
        <f>+'S&amp;D'!D48</f>
        <v>1465359395.28</v>
      </c>
      <c r="F23" s="56">
        <f>+'Dividends '!H22</f>
        <v>5.0333846944016436E-2</v>
      </c>
      <c r="G23" s="56">
        <v>5.0000000000000001E-3</v>
      </c>
      <c r="H23" s="56">
        <v>6.5000000000000002E-2</v>
      </c>
      <c r="I23" s="371">
        <f t="shared" si="0"/>
        <v>5.5333846944016434E-2</v>
      </c>
      <c r="J23" s="371">
        <f t="shared" si="1"/>
        <v>0.11533384694401644</v>
      </c>
      <c r="K23" s="13"/>
    </row>
    <row r="24" spans="1:11" ht="17.5">
      <c r="A24" s="45" t="str">
        <f>+'S&amp;D'!A29</f>
        <v>One Gas INC</v>
      </c>
      <c r="B24" s="36" t="str">
        <f>+'S&amp;D'!B29</f>
        <v>OGS</v>
      </c>
      <c r="C24" s="36" t="str">
        <f>+'S&amp;D'!C29</f>
        <v>Gas Utility</v>
      </c>
      <c r="D24" s="62">
        <f>+'S&amp;D'!G29</f>
        <v>63.72</v>
      </c>
      <c r="E24" s="63">
        <f>+'S&amp;D'!D49</f>
        <v>3603106277.2799997</v>
      </c>
      <c r="F24" s="56">
        <f>+'Dividends '!H23</f>
        <v>4.2059008160703078E-2</v>
      </c>
      <c r="G24" s="56">
        <v>0.03</v>
      </c>
      <c r="H24" s="56">
        <v>0.04</v>
      </c>
      <c r="I24" s="371">
        <f t="shared" si="0"/>
        <v>7.205900816070307E-2</v>
      </c>
      <c r="J24" s="371">
        <f t="shared" si="1"/>
        <v>8.2059008160703079E-2</v>
      </c>
      <c r="K24" s="13"/>
    </row>
    <row r="25" spans="1:11" ht="17.5">
      <c r="A25" s="45" t="str">
        <f>+'S&amp;D'!A30</f>
        <v>Southwest Gas Holdings, Inc</v>
      </c>
      <c r="B25" s="36" t="str">
        <f>+'S&amp;D'!B30</f>
        <v>SWX</v>
      </c>
      <c r="C25" s="36" t="str">
        <f>+'S&amp;D'!C30</f>
        <v>Gas Utility</v>
      </c>
      <c r="D25" s="62">
        <f>+'S&amp;D'!G30</f>
        <v>63.35</v>
      </c>
      <c r="E25" s="63">
        <f>+'S&amp;D'!D50</f>
        <v>4533563562.5</v>
      </c>
      <c r="F25" s="56">
        <f>+'Dividends '!H24</f>
        <v>3.9779005524861875E-2</v>
      </c>
      <c r="G25" s="56">
        <v>5.5E-2</v>
      </c>
      <c r="H25" s="56">
        <v>0.1</v>
      </c>
      <c r="I25" s="371">
        <f>+F25+G25</f>
        <v>9.4779005524861876E-2</v>
      </c>
      <c r="J25" s="371">
        <f>+F25+H25</f>
        <v>0.13977900552486189</v>
      </c>
      <c r="K25" s="13"/>
    </row>
    <row r="26" spans="1:11" ht="17.5">
      <c r="A26" s="45" t="str">
        <f>+'S&amp;D'!A31</f>
        <v>Spire Inc / Laclede Group Inc</v>
      </c>
      <c r="B26" s="36" t="str">
        <f>+'S&amp;D'!B31</f>
        <v>SR</v>
      </c>
      <c r="C26" s="36" t="str">
        <f>+'S&amp;D'!C31</f>
        <v>Gas Utility</v>
      </c>
      <c r="D26" s="62">
        <f>+'S&amp;D'!G31</f>
        <v>62.34</v>
      </c>
      <c r="E26" s="63">
        <f>+'S&amp;D'!D51</f>
        <v>3316488000</v>
      </c>
      <c r="F26" s="56">
        <f>+'Dividends '!H25</f>
        <v>5.0689765800449149E-2</v>
      </c>
      <c r="G26" s="56">
        <v>4.4999999999999998E-2</v>
      </c>
      <c r="H26" s="56">
        <v>4.4999999999999998E-2</v>
      </c>
      <c r="I26" s="371">
        <f t="shared" si="0"/>
        <v>9.5689765800449147E-2</v>
      </c>
      <c r="J26" s="371">
        <f t="shared" si="1"/>
        <v>9.5689765800449147E-2</v>
      </c>
      <c r="K26" s="13"/>
    </row>
    <row r="27" spans="1:11" ht="18" thickBot="1">
      <c r="A27" s="45" t="str">
        <f>+'S&amp;D'!A32</f>
        <v>WEC Energy Group</v>
      </c>
      <c r="B27" s="36" t="str">
        <f>+'S&amp;D'!B32</f>
        <v>WEC</v>
      </c>
      <c r="C27" s="36" t="str">
        <f>+'S&amp;D'!C32</f>
        <v>Electric Utility - Central</v>
      </c>
      <c r="D27" s="62">
        <f>+'S&amp;D'!G32</f>
        <v>84.17</v>
      </c>
      <c r="E27" s="63">
        <f>+'S&amp;D'!D52</f>
        <v>26550124474.27</v>
      </c>
      <c r="F27" s="372">
        <f>+'Dividends '!H26</f>
        <v>4.2414161815373642E-2</v>
      </c>
      <c r="G27" s="372">
        <v>7.0000000000000007E-2</v>
      </c>
      <c r="H27" s="372">
        <v>0.06</v>
      </c>
      <c r="I27" s="373">
        <f t="shared" si="0"/>
        <v>0.11241416181537364</v>
      </c>
      <c r="J27" s="373">
        <f t="shared" si="1"/>
        <v>0.10241416181537363</v>
      </c>
      <c r="K27" s="13"/>
    </row>
    <row r="28" spans="1:11" ht="17.5" thickTop="1">
      <c r="A28" s="13"/>
      <c r="B28" s="13"/>
      <c r="C28" s="15" t="s">
        <v>0</v>
      </c>
      <c r="D28" s="16" t="s">
        <v>0</v>
      </c>
      <c r="E28" s="16" t="s">
        <v>56</v>
      </c>
      <c r="F28" s="423">
        <f>MAX(F17:F27)</f>
        <v>5.0689765800449149E-2</v>
      </c>
      <c r="G28" s="303">
        <f t="shared" ref="G28:J28" si="2">MAX(G17:G27)</f>
        <v>7.4999999999999997E-2</v>
      </c>
      <c r="H28" s="17">
        <f t="shared" si="2"/>
        <v>0.1</v>
      </c>
      <c r="I28" s="17">
        <f t="shared" si="2"/>
        <v>0.11241416181537364</v>
      </c>
      <c r="J28" s="17">
        <f t="shared" si="2"/>
        <v>0.13977900552486189</v>
      </c>
      <c r="K28" s="13"/>
    </row>
    <row r="29" spans="1:11" ht="17">
      <c r="A29" s="13"/>
      <c r="B29" s="13"/>
      <c r="C29" s="15"/>
      <c r="D29" s="16"/>
      <c r="E29" s="16" t="s">
        <v>57</v>
      </c>
      <c r="F29" s="424">
        <f>MIN(F17:F27)</f>
        <v>2.985332182916307E-2</v>
      </c>
      <c r="G29" s="346">
        <f t="shared" ref="G29:J29" si="3">MIN(G17:G27)</f>
        <v>5.0000000000000001E-3</v>
      </c>
      <c r="H29" s="305">
        <f t="shared" si="3"/>
        <v>3.5000000000000003E-2</v>
      </c>
      <c r="I29" s="305">
        <f t="shared" si="3"/>
        <v>5.5333846944016434E-2</v>
      </c>
      <c r="J29" s="305">
        <f t="shared" si="3"/>
        <v>8.2059008160703079E-2</v>
      </c>
      <c r="K29" s="13"/>
    </row>
    <row r="30" spans="1:11" ht="17">
      <c r="A30" s="13"/>
      <c r="B30" s="13"/>
      <c r="D30" s="18" t="s">
        <v>0</v>
      </c>
      <c r="E30" s="15" t="s">
        <v>18</v>
      </c>
      <c r="F30" s="57">
        <f>MEDIAN(F17:F27)</f>
        <v>4.2059008160703078E-2</v>
      </c>
      <c r="G30" s="374">
        <v>7.4999999999999997E-2</v>
      </c>
      <c r="H30" s="374">
        <f>MEDIAN(H17:H27)</f>
        <v>0.06</v>
      </c>
      <c r="I30" s="375">
        <f>MEDIAN(I17:I27)</f>
        <v>8.9479587258860488E-2</v>
      </c>
      <c r="J30" s="375">
        <f>MEDIAN(J17:J27)</f>
        <v>9.5689765800449147E-2</v>
      </c>
      <c r="K30" s="13"/>
    </row>
    <row r="31" spans="1:11" ht="17">
      <c r="A31" s="13"/>
      <c r="B31" s="13"/>
      <c r="D31" s="22" t="s">
        <v>0</v>
      </c>
      <c r="E31" s="15" t="s">
        <v>448</v>
      </c>
      <c r="F31" s="57">
        <f>AVERAGE(F17:F27)</f>
        <v>4.1380694413774295E-2</v>
      </c>
      <c r="G31" s="57">
        <f>AVERAGE(G17:G27)</f>
        <v>4.4090909090909083E-2</v>
      </c>
      <c r="H31" s="374">
        <f>AVERAGE(H17:H27)</f>
        <v>6.0909090909090906E-2</v>
      </c>
      <c r="I31" s="375">
        <f>AVERAGE(I17:I27)</f>
        <v>8.5471603504683399E-2</v>
      </c>
      <c r="J31" s="375">
        <f>AVERAGE(J17:J27)</f>
        <v>0.1022897853228652</v>
      </c>
      <c r="K31" s="13"/>
    </row>
    <row r="32" spans="1:11" ht="17">
      <c r="A32" s="13"/>
      <c r="B32" s="13"/>
      <c r="C32" s="15"/>
      <c r="D32" s="22"/>
      <c r="E32" s="23"/>
      <c r="F32" s="19"/>
      <c r="G32" s="19"/>
      <c r="H32" s="20"/>
      <c r="I32" s="21"/>
      <c r="J32" s="21"/>
      <c r="K32" s="13"/>
    </row>
    <row r="33" spans="1:11" ht="17.5" thickBot="1">
      <c r="A33" s="13"/>
      <c r="B33" s="13"/>
      <c r="C33" s="13"/>
      <c r="D33" s="13"/>
      <c r="E33" s="13"/>
      <c r="F33" s="13"/>
      <c r="G33" s="13"/>
      <c r="H33" s="13"/>
      <c r="I33" s="13"/>
      <c r="J33" s="13"/>
      <c r="K33" s="13"/>
    </row>
    <row r="34" spans="1:11" ht="26.5" thickBot="1">
      <c r="A34" s="13"/>
      <c r="B34" s="13"/>
      <c r="C34" s="13"/>
      <c r="D34" s="13"/>
      <c r="E34" s="13"/>
      <c r="F34" s="13"/>
      <c r="G34" s="199" t="s">
        <v>202</v>
      </c>
      <c r="H34" s="201"/>
      <c r="I34" s="376">
        <v>8.5500000000000007E-2</v>
      </c>
      <c r="J34" s="13"/>
      <c r="K34" s="13"/>
    </row>
    <row r="35" spans="1:11" ht="17.5" thickBot="1">
      <c r="A35" s="13"/>
      <c r="B35" s="13"/>
      <c r="C35" s="13"/>
      <c r="D35" s="13"/>
      <c r="E35" s="13"/>
      <c r="F35" s="13"/>
      <c r="G35" s="13"/>
      <c r="H35" s="13"/>
      <c r="I35" s="13"/>
      <c r="J35" s="13"/>
      <c r="K35" s="13"/>
    </row>
    <row r="36" spans="1:11" ht="26.5" thickBot="1">
      <c r="A36" s="13"/>
      <c r="B36" s="13"/>
      <c r="C36" s="13"/>
      <c r="D36" s="13"/>
      <c r="E36" s="13"/>
      <c r="F36" s="13"/>
      <c r="G36" s="199" t="s">
        <v>201</v>
      </c>
      <c r="H36" s="202"/>
      <c r="I36" s="376">
        <v>0.1023</v>
      </c>
      <c r="J36" s="13"/>
      <c r="K36" s="13"/>
    </row>
    <row r="37" spans="1:11" ht="17">
      <c r="A37" s="13"/>
      <c r="B37" s="13"/>
      <c r="C37" s="13"/>
      <c r="D37" s="13"/>
      <c r="E37" s="13"/>
      <c r="F37" s="13"/>
      <c r="G37" s="13"/>
      <c r="H37" s="13"/>
      <c r="I37" s="13"/>
      <c r="J37" s="13"/>
    </row>
    <row r="38" spans="1:11" ht="25.5">
      <c r="A38" s="25" t="s">
        <v>386</v>
      </c>
      <c r="B38" s="13"/>
      <c r="C38" s="25" t="s">
        <v>387</v>
      </c>
      <c r="D38" s="13"/>
      <c r="E38" s="13"/>
      <c r="F38" s="13"/>
      <c r="G38" s="13"/>
      <c r="H38" s="13"/>
      <c r="I38" s="13"/>
      <c r="J38" s="13"/>
    </row>
    <row r="39" spans="1:11" ht="17.5">
      <c r="A39" s="65" t="s">
        <v>388</v>
      </c>
      <c r="B39" s="13"/>
      <c r="C39" s="65" t="s">
        <v>388</v>
      </c>
      <c r="D39" s="13"/>
      <c r="E39" s="13"/>
      <c r="F39" s="13"/>
      <c r="G39" s="13"/>
      <c r="H39" s="13"/>
      <c r="I39" s="13"/>
      <c r="J39" s="13"/>
    </row>
    <row r="40" spans="1:11" ht="17.5">
      <c r="A40" s="65" t="s">
        <v>389</v>
      </c>
      <c r="B40" s="13"/>
      <c r="C40" s="65" t="s">
        <v>390</v>
      </c>
      <c r="D40" s="13"/>
      <c r="E40" s="13"/>
      <c r="F40" s="13"/>
      <c r="G40" s="13"/>
      <c r="H40" s="13"/>
      <c r="I40" s="13"/>
      <c r="J40" s="13"/>
    </row>
    <row r="41" spans="1:11" ht="17">
      <c r="A41" s="45"/>
      <c r="B41" s="13"/>
      <c r="C41" s="45"/>
      <c r="D41" s="13"/>
      <c r="E41" s="13"/>
      <c r="F41" s="13"/>
      <c r="G41" s="13"/>
      <c r="H41" s="13"/>
      <c r="I41" s="13"/>
      <c r="J41" s="13"/>
    </row>
    <row r="42" spans="1:11" ht="17">
      <c r="A42" s="45"/>
      <c r="B42" s="13"/>
      <c r="C42" s="45"/>
      <c r="D42" s="13"/>
      <c r="E42" s="13"/>
      <c r="F42" s="13"/>
      <c r="G42" s="13"/>
      <c r="H42" s="13"/>
      <c r="I42" s="13"/>
      <c r="J42" s="13"/>
    </row>
    <row r="43" spans="1:11" ht="25.5">
      <c r="A43" s="25" t="s">
        <v>225</v>
      </c>
      <c r="B43" s="13"/>
      <c r="C43" s="25" t="s">
        <v>225</v>
      </c>
      <c r="D43" s="13"/>
      <c r="E43" s="13"/>
      <c r="F43" s="13"/>
      <c r="G43" s="13"/>
      <c r="H43" s="13"/>
      <c r="I43" s="13"/>
      <c r="J43" s="13"/>
    </row>
    <row r="44" spans="1:11" ht="17">
      <c r="A44" s="45"/>
      <c r="B44" s="13"/>
      <c r="C44" s="45"/>
      <c r="D44" s="13"/>
      <c r="E44" s="13"/>
      <c r="F44" s="13"/>
      <c r="H44" s="13"/>
      <c r="I44" s="13"/>
      <c r="J44" s="13"/>
    </row>
    <row r="45" spans="1:11" ht="17.5">
      <c r="A45" s="65" t="s">
        <v>226</v>
      </c>
      <c r="B45" s="13"/>
      <c r="C45" s="65" t="s">
        <v>226</v>
      </c>
      <c r="D45" s="13"/>
      <c r="E45" s="13"/>
      <c r="F45" s="13"/>
      <c r="G45" s="13"/>
      <c r="H45" s="13"/>
      <c r="I45" s="13"/>
      <c r="J45" s="13"/>
    </row>
    <row r="46" spans="1:11" ht="17.5">
      <c r="A46" s="65" t="s">
        <v>224</v>
      </c>
      <c r="B46" s="13"/>
      <c r="C46" s="65" t="s">
        <v>224</v>
      </c>
      <c r="D46" s="13"/>
      <c r="E46" s="13"/>
      <c r="F46" s="13"/>
      <c r="G46" s="13"/>
      <c r="H46" s="13"/>
      <c r="I46" s="13"/>
      <c r="J46" s="13"/>
    </row>
    <row r="47" spans="1:11" ht="17.5">
      <c r="A47" s="65" t="s">
        <v>227</v>
      </c>
      <c r="B47" s="13"/>
      <c r="C47" s="65" t="s">
        <v>227</v>
      </c>
      <c r="D47" s="13"/>
      <c r="E47" s="13"/>
      <c r="F47" s="13"/>
      <c r="G47" s="13"/>
      <c r="H47" s="13"/>
      <c r="I47" s="13"/>
      <c r="J47" s="13"/>
    </row>
    <row r="48" spans="1:11" ht="17.5">
      <c r="A48" s="65" t="s">
        <v>391</v>
      </c>
      <c r="B48" s="13"/>
      <c r="C48" s="65" t="s">
        <v>392</v>
      </c>
      <c r="D48" s="13"/>
      <c r="E48" s="13"/>
      <c r="F48" s="13"/>
      <c r="G48" s="13"/>
      <c r="H48" s="13"/>
      <c r="I48" s="13"/>
      <c r="J48" s="13"/>
    </row>
    <row r="49" spans="1:10" ht="17.5">
      <c r="A49" s="65"/>
      <c r="B49" s="13"/>
      <c r="C49" s="65"/>
      <c r="D49" s="13"/>
      <c r="E49" s="13"/>
      <c r="F49" s="13"/>
      <c r="G49" s="13"/>
      <c r="H49" s="13"/>
      <c r="I49" s="13"/>
      <c r="J49" s="13"/>
    </row>
    <row r="50" spans="1:10" ht="17.5">
      <c r="A50" s="65"/>
      <c r="B50" s="13"/>
      <c r="C50" s="65"/>
      <c r="D50" s="13"/>
      <c r="E50" s="13"/>
      <c r="F50" s="13"/>
      <c r="G50" s="13"/>
      <c r="H50" s="13"/>
      <c r="I50" s="13"/>
      <c r="J50" s="13"/>
    </row>
  </sheetData>
  <pageMargins left="0.25" right="0.25" top="0.75" bottom="0.75" header="0.3" footer="0.3"/>
  <pageSetup scale="4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17"/>
  <sheetViews>
    <sheetView view="pageBreakPreview" topLeftCell="A16" zoomScale="70" zoomScaleNormal="80" zoomScaleSheetLayoutView="70" workbookViewId="0">
      <selection activeCell="H39" sqref="H39"/>
    </sheetView>
  </sheetViews>
  <sheetFormatPr defaultRowHeight="14.5"/>
  <cols>
    <col min="1" max="1" width="47.81640625" customWidth="1"/>
    <col min="2" max="2" width="15.26953125" customWidth="1"/>
    <col min="3" max="3" width="24.54296875" customWidth="1"/>
    <col min="4" max="4" width="26.54296875" customWidth="1"/>
    <col min="5" max="5" width="33" customWidth="1"/>
    <col min="6" max="6" width="22.453125" customWidth="1"/>
    <col min="7" max="7" width="27" customWidth="1"/>
    <col min="8" max="8" width="43" customWidth="1"/>
    <col min="9" max="9" width="15.26953125" customWidth="1"/>
    <col min="10" max="10" width="24.54296875" customWidth="1"/>
    <col min="11" max="11" width="24.1796875" customWidth="1"/>
    <col min="13" max="13" width="10.54296875" customWidth="1"/>
  </cols>
  <sheetData>
    <row r="1" spans="1:9" ht="25.5">
      <c r="A1" s="25" t="s">
        <v>1</v>
      </c>
      <c r="B1" s="13"/>
      <c r="C1" s="13"/>
      <c r="D1" s="13"/>
      <c r="E1" s="13"/>
      <c r="F1" s="13"/>
      <c r="G1" s="13"/>
      <c r="H1" s="13"/>
      <c r="I1" s="13"/>
    </row>
    <row r="2" spans="1:9" ht="17.5">
      <c r="A2" s="26" t="s">
        <v>9</v>
      </c>
      <c r="B2" s="13"/>
      <c r="C2" s="13"/>
      <c r="D2" s="13"/>
      <c r="E2" s="13"/>
      <c r="F2" s="13"/>
      <c r="G2" s="13"/>
      <c r="H2" s="13"/>
      <c r="I2" s="13"/>
    </row>
    <row r="3" spans="1:9" ht="17">
      <c r="A3" s="27" t="s">
        <v>487</v>
      </c>
      <c r="B3" s="13"/>
      <c r="C3" s="13"/>
      <c r="D3" s="13"/>
      <c r="E3" s="13"/>
      <c r="F3" s="13"/>
      <c r="G3" s="13"/>
      <c r="H3" s="13"/>
      <c r="I3" s="13"/>
    </row>
    <row r="4" spans="1:9" ht="17">
      <c r="A4" s="27"/>
      <c r="B4" s="13"/>
      <c r="C4" s="13"/>
      <c r="D4" s="13"/>
      <c r="E4" s="13"/>
      <c r="F4" s="13"/>
      <c r="G4" s="13"/>
      <c r="H4" s="13"/>
      <c r="I4" s="13"/>
    </row>
    <row r="5" spans="1:9" ht="17.5" thickBot="1">
      <c r="A5" s="13"/>
      <c r="B5" s="13"/>
      <c r="C5" s="13"/>
      <c r="D5" s="13"/>
      <c r="E5" s="13"/>
      <c r="F5" s="13"/>
      <c r="G5" s="13"/>
      <c r="H5" s="13"/>
      <c r="I5" s="28"/>
    </row>
    <row r="6" spans="1:9" ht="21.5" thickBot="1">
      <c r="A6" s="272" t="str">
        <f>+'S&amp;D'!A12</f>
        <v>Natural Gas Utility Distribution</v>
      </c>
      <c r="B6" s="202"/>
      <c r="C6" s="13"/>
      <c r="D6" s="13"/>
      <c r="E6" s="13"/>
      <c r="F6" s="13"/>
      <c r="G6" s="13"/>
      <c r="H6" s="13"/>
      <c r="I6" s="13"/>
    </row>
    <row r="7" spans="1:9" ht="21">
      <c r="A7" s="32"/>
      <c r="B7" s="13"/>
      <c r="C7" s="13"/>
      <c r="D7" s="13"/>
      <c r="E7" s="13"/>
      <c r="F7" s="13"/>
      <c r="G7" s="13"/>
      <c r="H7" s="13"/>
      <c r="I7" s="13"/>
    </row>
    <row r="8" spans="1:9" ht="21.5" thickBot="1">
      <c r="A8" s="32"/>
      <c r="B8" s="13"/>
      <c r="C8" s="13"/>
      <c r="D8" s="30"/>
      <c r="E8" s="30"/>
      <c r="F8" s="30"/>
      <c r="G8" s="13"/>
      <c r="H8" s="13"/>
      <c r="I8" s="13"/>
    </row>
    <row r="9" spans="1:9" ht="25.5">
      <c r="A9" s="32"/>
      <c r="B9" s="13"/>
      <c r="C9" s="13"/>
      <c r="D9" s="13"/>
      <c r="E9" s="33" t="s">
        <v>203</v>
      </c>
      <c r="F9" s="13"/>
      <c r="G9" s="13"/>
      <c r="H9" s="13"/>
      <c r="I9" s="13"/>
    </row>
    <row r="10" spans="1:9" ht="21.5" thickBot="1">
      <c r="A10" s="32"/>
      <c r="B10" s="13"/>
      <c r="C10" s="13"/>
      <c r="D10" s="30"/>
      <c r="E10" s="38" t="s">
        <v>488</v>
      </c>
      <c r="F10" s="30"/>
      <c r="G10" s="13"/>
      <c r="H10" s="13"/>
      <c r="I10" s="13"/>
    </row>
    <row r="11" spans="1:9" ht="21">
      <c r="A11" s="32"/>
      <c r="B11" s="13"/>
      <c r="C11" s="13"/>
      <c r="D11" s="13"/>
      <c r="E11" s="13"/>
      <c r="F11" s="36"/>
      <c r="G11" s="36"/>
      <c r="H11" s="13"/>
      <c r="I11" s="13"/>
    </row>
    <row r="12" spans="1:9" ht="21">
      <c r="A12" s="32"/>
      <c r="B12" s="13"/>
      <c r="C12" s="13"/>
      <c r="D12" s="13"/>
      <c r="E12" s="13"/>
      <c r="F12" s="36"/>
      <c r="G12" s="36"/>
      <c r="H12" s="13"/>
      <c r="I12" s="13"/>
    </row>
    <row r="13" spans="1:9" ht="45.75" customHeight="1" thickBot="1">
      <c r="A13" s="35" t="s">
        <v>0</v>
      </c>
      <c r="B13" s="35" t="s">
        <v>0</v>
      </c>
      <c r="C13" s="35" t="s">
        <v>0</v>
      </c>
      <c r="D13" s="30"/>
      <c r="E13" s="30"/>
      <c r="F13" s="35" t="s">
        <v>0</v>
      </c>
      <c r="G13" s="35"/>
      <c r="H13" s="35"/>
      <c r="I13" s="13"/>
    </row>
    <row r="14" spans="1:9" ht="17">
      <c r="A14" s="36" t="s">
        <v>0</v>
      </c>
      <c r="B14" s="36" t="s">
        <v>3</v>
      </c>
      <c r="C14" s="36" t="s">
        <v>5</v>
      </c>
      <c r="D14" s="36" t="s">
        <v>199</v>
      </c>
      <c r="E14" s="36" t="s">
        <v>200</v>
      </c>
      <c r="F14" s="36" t="s">
        <v>204</v>
      </c>
      <c r="G14" s="36" t="s">
        <v>19</v>
      </c>
      <c r="H14" s="36" t="s">
        <v>206</v>
      </c>
      <c r="I14" s="13"/>
    </row>
    <row r="15" spans="1:9" ht="17">
      <c r="A15" s="36" t="s">
        <v>2</v>
      </c>
      <c r="B15" s="36" t="s">
        <v>4</v>
      </c>
      <c r="C15" s="36" t="s">
        <v>6</v>
      </c>
      <c r="D15" s="36" t="s">
        <v>403</v>
      </c>
      <c r="E15" s="36" t="s">
        <v>405</v>
      </c>
      <c r="F15" s="36" t="s">
        <v>147</v>
      </c>
      <c r="G15" s="36" t="s">
        <v>205</v>
      </c>
      <c r="H15" s="36" t="s">
        <v>194</v>
      </c>
      <c r="I15" s="13"/>
    </row>
    <row r="16" spans="1:9" ht="17">
      <c r="A16" s="36"/>
      <c r="B16" s="36" t="s">
        <v>0</v>
      </c>
      <c r="C16" s="36" t="s">
        <v>0</v>
      </c>
      <c r="D16" s="36" t="s">
        <v>0</v>
      </c>
      <c r="E16" s="37" t="s">
        <v>404</v>
      </c>
      <c r="F16" s="37" t="s">
        <v>0</v>
      </c>
      <c r="G16" s="36" t="s">
        <v>210</v>
      </c>
      <c r="H16" s="37" t="s">
        <v>211</v>
      </c>
      <c r="I16" s="13"/>
    </row>
    <row r="17" spans="1:11" ht="18" customHeight="1" thickBot="1">
      <c r="A17" s="69" t="s">
        <v>0</v>
      </c>
      <c r="B17" s="39" t="s">
        <v>0</v>
      </c>
      <c r="C17" s="39" t="s">
        <v>0</v>
      </c>
      <c r="D17" s="34" t="s">
        <v>208</v>
      </c>
      <c r="E17" s="34" t="s">
        <v>209</v>
      </c>
      <c r="F17" s="34" t="s">
        <v>207</v>
      </c>
      <c r="G17" s="36" t="s">
        <v>113</v>
      </c>
      <c r="H17" s="157"/>
      <c r="I17" s="13"/>
    </row>
    <row r="18" spans="1:11" ht="17">
      <c r="A18" s="40" t="s">
        <v>0</v>
      </c>
      <c r="B18" s="40" t="s">
        <v>0</v>
      </c>
      <c r="C18" s="40" t="s">
        <v>0</v>
      </c>
      <c r="D18" s="40" t="s">
        <v>7</v>
      </c>
      <c r="E18" s="40" t="s">
        <v>7</v>
      </c>
      <c r="F18" s="40" t="s">
        <v>0</v>
      </c>
      <c r="G18" s="70" t="s">
        <v>0</v>
      </c>
      <c r="H18" s="40" t="s">
        <v>0</v>
      </c>
      <c r="I18" s="13"/>
    </row>
    <row r="19" spans="1:11" ht="17">
      <c r="A19" s="36"/>
      <c r="B19" s="36"/>
      <c r="C19" s="36"/>
      <c r="D19" s="36"/>
      <c r="E19" s="13"/>
      <c r="F19" s="36"/>
      <c r="G19" s="13"/>
      <c r="H19" s="13"/>
      <c r="I19" s="13"/>
      <c r="J19" t="s">
        <v>0</v>
      </c>
      <c r="K19" t="s">
        <v>0</v>
      </c>
    </row>
    <row r="20" spans="1:11" ht="17">
      <c r="A20" s="13"/>
      <c r="B20" s="13"/>
      <c r="C20" s="13"/>
      <c r="D20" s="13"/>
      <c r="E20" s="13"/>
      <c r="F20" s="13"/>
      <c r="G20" s="13"/>
      <c r="H20" s="13" t="s">
        <v>0</v>
      </c>
      <c r="I20" s="13"/>
      <c r="J20" t="s">
        <v>0</v>
      </c>
      <c r="K20" t="s">
        <v>0</v>
      </c>
    </row>
    <row r="21" spans="1:11" ht="17">
      <c r="A21" s="45" t="str">
        <f>+'S&amp;D'!A22</f>
        <v>Atmos Energy Corp</v>
      </c>
      <c r="B21" s="36" t="str">
        <f>+'S&amp;D'!B22</f>
        <v>ATO</v>
      </c>
      <c r="C21" s="36" t="str">
        <f>+'S&amp;D'!C22</f>
        <v>Gas Utility</v>
      </c>
      <c r="D21" s="68">
        <f>+'Single Stage Div Growth Model'!F17</f>
        <v>2.985332182916307E-2</v>
      </c>
      <c r="E21" s="68">
        <f>+'Single Stage Div Growth Model'!H17</f>
        <v>7.0000000000000007E-2</v>
      </c>
      <c r="F21" s="68">
        <f>+'Growth &amp; Inflation Rates'!F93</f>
        <v>4.1099999999999998E-2</v>
      </c>
      <c r="G21" s="68">
        <f>(F21+E21)/2</f>
        <v>5.5550000000000002E-2</v>
      </c>
      <c r="H21" s="68">
        <f>D21*(1+(0.5*G21))+(0.67*E21)+(0.33*F21)</f>
        <v>9.114549784296809E-2</v>
      </c>
      <c r="I21" s="13"/>
      <c r="J21" t="s">
        <v>0</v>
      </c>
      <c r="K21" t="s">
        <v>0</v>
      </c>
    </row>
    <row r="22" spans="1:11" ht="17">
      <c r="A22" s="45" t="str">
        <f>+'S&amp;D'!A23</f>
        <v>Black Hills Corporation</v>
      </c>
      <c r="B22" s="36" t="str">
        <f>+'S&amp;D'!B23</f>
        <v>BKH</v>
      </c>
      <c r="C22" s="36" t="str">
        <f>+'S&amp;D'!C23</f>
        <v>Electric Utility - West</v>
      </c>
      <c r="D22" s="68">
        <f>+'Single Stage Div Growth Model'!F18</f>
        <v>5.0046339202965709E-2</v>
      </c>
      <c r="E22" s="68">
        <f>+'Single Stage Div Growth Model'!H18</f>
        <v>3.5000000000000003E-2</v>
      </c>
      <c r="F22" s="68">
        <f>+F21</f>
        <v>4.1099999999999998E-2</v>
      </c>
      <c r="G22" s="68">
        <f t="shared" ref="G22:G31" si="0">(F22+E22)/2</f>
        <v>3.805E-2</v>
      </c>
      <c r="H22" s="68">
        <f t="shared" ref="H22:H31" si="1">D22*(1+(0.5*G22))+(0.67*E22)+(0.33*F22)</f>
        <v>8.8011470806302144E-2</v>
      </c>
      <c r="I22" s="13"/>
      <c r="J22" t="s">
        <v>0</v>
      </c>
      <c r="K22" t="s">
        <v>0</v>
      </c>
    </row>
    <row r="23" spans="1:11" ht="17">
      <c r="A23" s="45" t="str">
        <f>+'S&amp;D'!A24</f>
        <v>CenterPoint Energy Inc.</v>
      </c>
      <c r="B23" s="36" t="str">
        <f>+'S&amp;D'!B24</f>
        <v>CNP</v>
      </c>
      <c r="C23" s="36" t="str">
        <f>+'S&amp;D'!C24</f>
        <v>Electric Utility - Central</v>
      </c>
      <c r="D23" s="68">
        <f>+'Single Stage Div Growth Model'!F19</f>
        <v>3.1151557577878894E-2</v>
      </c>
      <c r="E23" s="68">
        <f>+'Single Stage Div Growth Model'!H19</f>
        <v>0.06</v>
      </c>
      <c r="F23" s="68">
        <f>+F21</f>
        <v>4.1099999999999998E-2</v>
      </c>
      <c r="G23" s="68">
        <f t="shared" si="0"/>
        <v>5.0549999999999998E-2</v>
      </c>
      <c r="H23" s="68">
        <f t="shared" si="1"/>
        <v>8.5701913195659785E-2</v>
      </c>
      <c r="I23" s="13"/>
      <c r="J23" t="s">
        <v>0</v>
      </c>
      <c r="K23" t="s">
        <v>0</v>
      </c>
    </row>
    <row r="24" spans="1:11" ht="17">
      <c r="A24" s="45" t="str">
        <f>+'S&amp;D'!A25</f>
        <v>CMS Energy Corporation</v>
      </c>
      <c r="B24" s="36" t="str">
        <f>+'S&amp;D'!B25</f>
        <v>CMS</v>
      </c>
      <c r="C24" s="36" t="str">
        <f>+'S&amp;D'!C25</f>
        <v>Electric Utility - Central</v>
      </c>
      <c r="D24" s="68">
        <f>+'Single Stage Div Growth Model'!F20</f>
        <v>3.719648699845015E-2</v>
      </c>
      <c r="E24" s="68">
        <f>+'Single Stage Div Growth Model'!H20</f>
        <v>0.05</v>
      </c>
      <c r="F24" s="68">
        <f>+F21</f>
        <v>4.1099999999999998E-2</v>
      </c>
      <c r="G24" s="68">
        <f t="shared" si="0"/>
        <v>4.555E-2</v>
      </c>
      <c r="H24" s="68">
        <f t="shared" si="1"/>
        <v>8.5106636989839862E-2</v>
      </c>
      <c r="I24" s="13"/>
      <c r="J24" t="s">
        <v>0</v>
      </c>
      <c r="K24" t="s">
        <v>0</v>
      </c>
    </row>
    <row r="25" spans="1:11" ht="17">
      <c r="A25" s="45" t="str">
        <f>+'S&amp;D'!A26</f>
        <v>New Jersey Resources Corp</v>
      </c>
      <c r="B25" s="36" t="str">
        <f>+'S&amp;D'!B26</f>
        <v>NJR</v>
      </c>
      <c r="C25" s="36" t="str">
        <f>+'S&amp;D'!C26</f>
        <v>Gas Utility</v>
      </c>
      <c r="D25" s="68">
        <f>+'Single Stage Div Growth Model'!F21</f>
        <v>3.9479587258860478E-2</v>
      </c>
      <c r="E25" s="68">
        <f>+'Single Stage Div Growth Model'!H21</f>
        <v>0.05</v>
      </c>
      <c r="F25" s="68">
        <f>+F21</f>
        <v>4.1099999999999998E-2</v>
      </c>
      <c r="G25" s="68">
        <f t="shared" si="0"/>
        <v>4.555E-2</v>
      </c>
      <c r="H25" s="68">
        <f t="shared" si="1"/>
        <v>8.7441734858681036E-2</v>
      </c>
      <c r="I25" s="13"/>
      <c r="J25" s="12" t="s">
        <v>0</v>
      </c>
      <c r="K25" t="s">
        <v>0</v>
      </c>
    </row>
    <row r="26" spans="1:11" ht="17">
      <c r="A26" s="45" t="str">
        <f>+'S&amp;D'!A27</f>
        <v>NISOURCE Inc.</v>
      </c>
      <c r="B26" s="36" t="str">
        <f>+'S&amp;D'!B27</f>
        <v>NI</v>
      </c>
      <c r="C26" s="36" t="str">
        <f>+'S&amp;D'!C27</f>
        <v>Gas Utility</v>
      </c>
      <c r="D26" s="68">
        <f>+'Single Stage Div Growth Model'!F22</f>
        <v>4.2184557438794727E-2</v>
      </c>
      <c r="E26" s="68">
        <f>+'Single Stage Div Growth Model'!H22</f>
        <v>9.5000000000000001E-2</v>
      </c>
      <c r="F26" s="68">
        <f>+F21</f>
        <v>4.1099999999999998E-2</v>
      </c>
      <c r="G26" s="68">
        <f t="shared" si="0"/>
        <v>6.8049999999999999E-2</v>
      </c>
      <c r="H26" s="68">
        <f t="shared" si="1"/>
        <v>0.12083288700564972</v>
      </c>
      <c r="I26" s="13"/>
      <c r="J26" s="12" t="s">
        <v>0</v>
      </c>
    </row>
    <row r="27" spans="1:11" ht="17">
      <c r="A27" s="45" t="str">
        <f>+'S&amp;D'!A28</f>
        <v xml:space="preserve">Northwest Natural Holding Company </v>
      </c>
      <c r="B27" s="36" t="str">
        <f>+'S&amp;D'!B28</f>
        <v>NWN</v>
      </c>
      <c r="C27" s="36" t="str">
        <f>+'S&amp;D'!C28</f>
        <v>Gas Utility</v>
      </c>
      <c r="D27" s="68">
        <f>+'Single Stage Div Growth Model'!F23</f>
        <v>5.0333846944016436E-2</v>
      </c>
      <c r="E27" s="68">
        <f>+'Single Stage Div Growth Model'!H23</f>
        <v>6.5000000000000002E-2</v>
      </c>
      <c r="F27" s="68">
        <f>+F21</f>
        <v>4.1099999999999998E-2</v>
      </c>
      <c r="G27" s="68">
        <f t="shared" si="0"/>
        <v>5.305E-2</v>
      </c>
      <c r="H27" s="68">
        <f t="shared" si="1"/>
        <v>0.10878195223420649</v>
      </c>
      <c r="I27" s="13"/>
      <c r="J27" t="s">
        <v>0</v>
      </c>
    </row>
    <row r="28" spans="1:11" ht="17">
      <c r="A28" s="45" t="str">
        <f>+'S&amp;D'!A29</f>
        <v>One Gas INC</v>
      </c>
      <c r="B28" s="36" t="str">
        <f>+'S&amp;D'!B29</f>
        <v>OGS</v>
      </c>
      <c r="C28" s="36" t="str">
        <f>+'S&amp;D'!C29</f>
        <v>Gas Utility</v>
      </c>
      <c r="D28" s="68">
        <f>+'Single Stage Div Growth Model'!F24</f>
        <v>4.2059008160703078E-2</v>
      </c>
      <c r="E28" s="68">
        <f>+'Single Stage Div Growth Model'!H24</f>
        <v>0.04</v>
      </c>
      <c r="F28" s="68">
        <f>+F21</f>
        <v>4.1099999999999998E-2</v>
      </c>
      <c r="G28" s="68">
        <f t="shared" si="0"/>
        <v>4.0550000000000003E-2</v>
      </c>
      <c r="H28" s="68">
        <f t="shared" si="1"/>
        <v>8.3274754551161345E-2</v>
      </c>
      <c r="I28" s="13"/>
    </row>
    <row r="29" spans="1:11" ht="17">
      <c r="A29" s="45" t="str">
        <f>+'S&amp;D'!A30</f>
        <v>Southwest Gas Holdings, Inc</v>
      </c>
      <c r="B29" s="36" t="str">
        <f>+'S&amp;D'!B30</f>
        <v>SWX</v>
      </c>
      <c r="C29" s="36" t="str">
        <f>+'S&amp;D'!C30</f>
        <v>Gas Utility</v>
      </c>
      <c r="D29" s="68">
        <f>+'Single Stage Div Growth Model'!F25</f>
        <v>3.9779005524861875E-2</v>
      </c>
      <c r="E29" s="68">
        <f>+'Single Stage Div Growth Model'!H25</f>
        <v>0.1</v>
      </c>
      <c r="F29" s="68">
        <f>+F21</f>
        <v>4.1099999999999998E-2</v>
      </c>
      <c r="G29" s="68">
        <f t="shared" si="0"/>
        <v>7.0550000000000002E-2</v>
      </c>
      <c r="H29" s="68">
        <f t="shared" si="1"/>
        <v>0.1217452099447514</v>
      </c>
      <c r="I29" s="13"/>
    </row>
    <row r="30" spans="1:11" ht="17">
      <c r="A30" s="45" t="str">
        <f>+'S&amp;D'!A31</f>
        <v>Spire Inc / Laclede Group Inc</v>
      </c>
      <c r="B30" s="36" t="str">
        <f>+'S&amp;D'!B31</f>
        <v>SR</v>
      </c>
      <c r="C30" s="36" t="str">
        <f>+'S&amp;D'!C31</f>
        <v>Gas Utility</v>
      </c>
      <c r="D30" s="68">
        <f>+'Single Stage Div Growth Model'!F26</f>
        <v>5.0689765800449149E-2</v>
      </c>
      <c r="E30" s="68">
        <f>+'Single Stage Div Growth Model'!H26</f>
        <v>4.4999999999999998E-2</v>
      </c>
      <c r="F30" s="68">
        <f>+F21</f>
        <v>4.1099999999999998E-2</v>
      </c>
      <c r="G30" s="68">
        <f t="shared" si="0"/>
        <v>4.3049999999999998E-2</v>
      </c>
      <c r="H30" s="68">
        <f t="shared" si="1"/>
        <v>9.549386300930382E-2</v>
      </c>
      <c r="I30" s="13"/>
    </row>
    <row r="31" spans="1:11" ht="17.5" thickBot="1">
      <c r="A31" s="45" t="str">
        <f>+'S&amp;D'!A32</f>
        <v>WEC Energy Group</v>
      </c>
      <c r="B31" s="36" t="str">
        <f>+'S&amp;D'!B32</f>
        <v>WEC</v>
      </c>
      <c r="C31" s="36" t="str">
        <f>+'S&amp;D'!C32</f>
        <v>Electric Utility - Central</v>
      </c>
      <c r="D31" s="68">
        <f>+'Single Stage Div Growth Model'!F27</f>
        <v>4.2414161815373642E-2</v>
      </c>
      <c r="E31" s="68">
        <f>+'Single Stage Div Growth Model'!H27</f>
        <v>0.06</v>
      </c>
      <c r="F31" s="68">
        <f>+F21</f>
        <v>4.1099999999999998E-2</v>
      </c>
      <c r="G31" s="68">
        <f t="shared" si="0"/>
        <v>5.0549999999999998E-2</v>
      </c>
      <c r="H31" s="152">
        <f t="shared" si="1"/>
        <v>9.7249179755257223E-2</v>
      </c>
      <c r="I31" s="13"/>
    </row>
    <row r="32" spans="1:11" ht="17.5" thickTop="1">
      <c r="A32" s="13"/>
      <c r="B32" s="13"/>
      <c r="C32" s="13"/>
      <c r="D32" s="13"/>
      <c r="E32" s="13"/>
      <c r="F32" s="13"/>
      <c r="G32" s="193" t="s">
        <v>56</v>
      </c>
      <c r="H32" s="58">
        <f>MAX(H21:H31)</f>
        <v>0.1217452099447514</v>
      </c>
      <c r="I32" s="13"/>
    </row>
    <row r="33" spans="1:9" ht="17">
      <c r="A33" s="13"/>
      <c r="B33" s="13"/>
      <c r="C33" s="15" t="s">
        <v>0</v>
      </c>
      <c r="D33" s="16" t="s">
        <v>0</v>
      </c>
      <c r="E33" s="16" t="s">
        <v>0</v>
      </c>
      <c r="F33" s="17" t="s">
        <v>0</v>
      </c>
      <c r="G33" s="17" t="s">
        <v>57</v>
      </c>
      <c r="H33" s="298">
        <f>MIN(H21:H31)</f>
        <v>8.3274754551161345E-2</v>
      </c>
      <c r="I33" s="13"/>
    </row>
    <row r="34" spans="1:9" ht="17">
      <c r="A34" s="13"/>
      <c r="B34" s="13"/>
      <c r="D34" s="58" t="s">
        <v>0</v>
      </c>
      <c r="E34" s="52" t="s">
        <v>0</v>
      </c>
      <c r="F34" s="52" t="s">
        <v>0</v>
      </c>
      <c r="G34" s="15" t="s">
        <v>18</v>
      </c>
      <c r="H34" s="53">
        <f>MEDIAN(H21:H31)</f>
        <v>9.114549784296809E-2</v>
      </c>
      <c r="I34" s="13"/>
    </row>
    <row r="35" spans="1:9" ht="17">
      <c r="A35" s="13"/>
      <c r="B35" s="13"/>
      <c r="D35" s="58" t="s">
        <v>0</v>
      </c>
      <c r="E35" s="52" t="s">
        <v>0</v>
      </c>
      <c r="F35" s="58" t="s">
        <v>0</v>
      </c>
      <c r="G35" s="15" t="s">
        <v>448</v>
      </c>
      <c r="H35" s="53">
        <f>AVERAGE(H21:H31)</f>
        <v>9.6798645472161896E-2</v>
      </c>
      <c r="I35" s="13"/>
    </row>
    <row r="36" spans="1:9" ht="17">
      <c r="A36" s="13"/>
      <c r="B36" s="13"/>
      <c r="C36" s="15"/>
      <c r="D36" s="19"/>
      <c r="E36" s="20"/>
      <c r="F36" s="19"/>
      <c r="G36" s="21"/>
      <c r="H36" s="21"/>
      <c r="I36" s="13"/>
    </row>
    <row r="37" spans="1:9" ht="17.5" thickBot="1">
      <c r="A37" s="13"/>
      <c r="B37" s="13"/>
      <c r="C37" s="13"/>
      <c r="D37" s="13"/>
      <c r="E37" s="13"/>
      <c r="F37" s="13"/>
      <c r="G37" s="13"/>
      <c r="H37" s="13"/>
      <c r="I37" s="13"/>
    </row>
    <row r="38" spans="1:9" ht="26.5" thickBot="1">
      <c r="A38" s="13"/>
      <c r="B38" s="13"/>
      <c r="C38" s="13"/>
      <c r="D38" s="13"/>
      <c r="F38" s="199"/>
      <c r="G38" s="200" t="s">
        <v>259</v>
      </c>
      <c r="H38" s="377">
        <v>9.6799999999999997E-2</v>
      </c>
      <c r="I38" s="13"/>
    </row>
    <row r="39" spans="1:9" ht="17">
      <c r="A39" s="13"/>
      <c r="B39" s="13"/>
      <c r="C39" s="13"/>
      <c r="D39" s="13"/>
      <c r="E39" s="13"/>
      <c r="F39" s="13"/>
      <c r="G39" s="13"/>
      <c r="H39" s="13"/>
      <c r="I39" s="13"/>
    </row>
    <row r="40" spans="1:9" ht="26.5">
      <c r="A40" s="25" t="s">
        <v>339</v>
      </c>
      <c r="B40" s="13"/>
      <c r="C40" s="13"/>
      <c r="D40" s="13"/>
      <c r="E40" s="13"/>
      <c r="F40" s="13"/>
      <c r="G40" s="24" t="s">
        <v>0</v>
      </c>
      <c r="H40" s="13"/>
      <c r="I40" s="13"/>
    </row>
    <row r="41" spans="1:9" ht="17">
      <c r="A41" s="45"/>
      <c r="B41" s="13"/>
      <c r="C41" s="13"/>
      <c r="D41" s="13"/>
      <c r="E41" s="13"/>
      <c r="F41" s="13"/>
      <c r="G41" s="13"/>
      <c r="H41" s="13"/>
      <c r="I41" s="13"/>
    </row>
    <row r="42" spans="1:9" ht="17.5">
      <c r="A42" s="65" t="s">
        <v>226</v>
      </c>
      <c r="B42" s="13"/>
      <c r="C42" s="13"/>
      <c r="D42" s="13"/>
      <c r="E42" s="13"/>
      <c r="F42" s="13"/>
      <c r="G42" s="13"/>
      <c r="H42" s="13"/>
      <c r="I42" s="13"/>
    </row>
    <row r="43" spans="1:9" ht="17.5">
      <c r="A43" s="65" t="s">
        <v>340</v>
      </c>
      <c r="B43" s="13"/>
      <c r="C43" s="13"/>
      <c r="D43" s="13"/>
      <c r="E43" s="13"/>
      <c r="F43" s="13"/>
      <c r="G43" s="13"/>
      <c r="H43" s="13"/>
      <c r="I43" s="13"/>
    </row>
    <row r="44" spans="1:9" ht="17.5">
      <c r="A44" s="65" t="s">
        <v>341</v>
      </c>
      <c r="B44" s="13"/>
      <c r="C44" s="13"/>
      <c r="D44" s="13"/>
      <c r="E44" s="13"/>
      <c r="F44" s="13"/>
      <c r="G44" s="13"/>
      <c r="H44" s="13"/>
      <c r="I44" s="13"/>
    </row>
    <row r="45" spans="1:9" ht="17.5">
      <c r="A45" s="65" t="s">
        <v>342</v>
      </c>
      <c r="B45" s="13"/>
      <c r="C45" s="13"/>
      <c r="D45" s="13"/>
      <c r="E45" s="13"/>
      <c r="F45" s="13"/>
      <c r="G45" s="13"/>
      <c r="H45" s="13"/>
      <c r="I45" s="13"/>
    </row>
    <row r="46" spans="1:9" ht="17.5">
      <c r="A46" s="65" t="s">
        <v>343</v>
      </c>
      <c r="B46" s="13"/>
      <c r="C46" s="13"/>
      <c r="D46" s="13"/>
      <c r="E46" s="13"/>
      <c r="F46" s="13"/>
      <c r="G46" s="13"/>
      <c r="H46" s="13"/>
      <c r="I46" s="13"/>
    </row>
    <row r="47" spans="1:9" ht="17">
      <c r="A47" s="13"/>
      <c r="B47" s="13"/>
      <c r="C47" s="13"/>
      <c r="D47" s="13"/>
      <c r="E47" s="13"/>
      <c r="F47" s="13"/>
      <c r="G47" s="13"/>
      <c r="H47" s="13"/>
      <c r="I47" s="13"/>
    </row>
    <row r="48" spans="1:9" ht="17">
      <c r="A48" s="45" t="s">
        <v>0</v>
      </c>
      <c r="B48" s="13"/>
      <c r="C48" s="13"/>
      <c r="D48" s="13"/>
      <c r="E48" s="13"/>
      <c r="F48" s="13"/>
      <c r="G48" s="13"/>
      <c r="H48" s="13"/>
      <c r="I48" s="13"/>
    </row>
    <row r="49" spans="1:9" ht="17">
      <c r="A49" s="45"/>
      <c r="B49" s="13"/>
      <c r="C49" s="13"/>
      <c r="D49" s="13"/>
      <c r="E49" s="13"/>
      <c r="F49" s="13"/>
      <c r="G49" s="13"/>
      <c r="H49" s="13"/>
      <c r="I49" s="13"/>
    </row>
    <row r="50" spans="1:9" ht="17">
      <c r="A50" s="13"/>
      <c r="B50" s="13"/>
      <c r="C50" s="13"/>
      <c r="D50" s="13"/>
      <c r="E50" s="13"/>
      <c r="F50" s="13"/>
      <c r="G50" s="13"/>
      <c r="H50" s="13"/>
      <c r="I50" s="13"/>
    </row>
    <row r="51" spans="1:9" ht="17">
      <c r="A51" s="13"/>
      <c r="B51" s="13"/>
      <c r="C51" s="13"/>
      <c r="D51" s="13"/>
      <c r="E51" s="13"/>
      <c r="F51" s="13"/>
      <c r="G51" s="13"/>
      <c r="H51" s="13"/>
      <c r="I51" s="13"/>
    </row>
    <row r="52" spans="1:9" ht="17">
      <c r="A52" s="13"/>
      <c r="B52" s="13"/>
      <c r="C52" s="13"/>
      <c r="D52" s="13"/>
      <c r="E52" s="13"/>
      <c r="F52" s="13"/>
      <c r="G52" s="13"/>
      <c r="H52" s="13"/>
      <c r="I52" s="13"/>
    </row>
    <row r="53" spans="1:9" ht="17">
      <c r="A53" s="13"/>
      <c r="B53" s="13"/>
      <c r="C53" s="13"/>
      <c r="D53" s="13"/>
      <c r="E53" s="13"/>
      <c r="F53" s="13"/>
      <c r="G53" s="13"/>
      <c r="H53" s="13"/>
      <c r="I53" s="13"/>
    </row>
    <row r="54" spans="1:9" ht="17">
      <c r="C54" s="13"/>
      <c r="D54" s="13"/>
      <c r="E54" s="13"/>
      <c r="F54" s="13"/>
      <c r="G54" s="13"/>
      <c r="H54" s="13"/>
      <c r="I54" s="13"/>
    </row>
    <row r="55" spans="1:9" ht="17">
      <c r="C55" s="13"/>
      <c r="D55" s="13"/>
      <c r="E55" s="13"/>
      <c r="F55" s="13"/>
      <c r="G55" s="13"/>
      <c r="H55" s="13"/>
      <c r="I55" s="13"/>
    </row>
    <row r="56" spans="1:9" ht="17">
      <c r="C56" s="13"/>
      <c r="D56" s="13"/>
      <c r="E56" s="13"/>
      <c r="F56" s="13"/>
      <c r="G56" s="13"/>
      <c r="H56" s="13"/>
      <c r="I56" s="13"/>
    </row>
    <row r="57" spans="1:9" ht="17">
      <c r="C57" s="13"/>
      <c r="D57" s="13"/>
      <c r="E57" s="13"/>
      <c r="F57" s="13"/>
      <c r="G57" s="13"/>
      <c r="H57" s="13"/>
      <c r="I57" s="13"/>
    </row>
    <row r="58" spans="1:9" ht="17">
      <c r="C58" s="13"/>
      <c r="D58" s="13"/>
      <c r="E58" s="13"/>
      <c r="F58" s="13"/>
      <c r="G58" s="13"/>
      <c r="H58" s="13"/>
      <c r="I58" s="13"/>
    </row>
    <row r="59" spans="1:9" ht="17">
      <c r="C59" s="13"/>
      <c r="D59" s="13"/>
      <c r="E59" s="13"/>
      <c r="F59" s="13"/>
      <c r="G59" s="13"/>
      <c r="H59" s="13"/>
      <c r="I59" s="13"/>
    </row>
    <row r="60" spans="1:9" ht="17">
      <c r="C60" s="13"/>
      <c r="D60" s="13"/>
      <c r="E60" s="13"/>
      <c r="F60" s="13"/>
      <c r="G60" s="13"/>
      <c r="H60" s="13"/>
      <c r="I60" s="13"/>
    </row>
    <row r="61" spans="1:9" ht="17">
      <c r="A61" s="13"/>
      <c r="B61" s="13"/>
      <c r="C61" s="13"/>
      <c r="D61" s="13"/>
      <c r="E61" s="13"/>
      <c r="F61" s="13"/>
      <c r="G61" s="13"/>
      <c r="H61" s="13"/>
      <c r="I61" s="13"/>
    </row>
    <row r="62" spans="1:9" ht="17">
      <c r="A62" s="13"/>
      <c r="B62" s="13"/>
      <c r="C62" s="13"/>
      <c r="D62" s="13"/>
      <c r="E62" s="13"/>
      <c r="F62" s="13"/>
      <c r="G62" s="13"/>
      <c r="H62" s="13"/>
      <c r="I62" s="13"/>
    </row>
    <row r="63" spans="1:9" ht="17">
      <c r="A63" s="13"/>
      <c r="B63" s="13"/>
      <c r="C63" s="13"/>
      <c r="D63" s="13"/>
      <c r="E63" s="13"/>
      <c r="F63" s="13"/>
      <c r="G63" s="13"/>
      <c r="H63" s="13"/>
      <c r="I63" s="13"/>
    </row>
    <row r="64" spans="1:9" ht="17">
      <c r="A64" s="13"/>
      <c r="B64" s="13"/>
      <c r="C64" s="13"/>
      <c r="D64" s="13"/>
      <c r="E64" s="13"/>
      <c r="F64" s="13"/>
      <c r="G64" s="13"/>
      <c r="H64" s="13"/>
      <c r="I64" s="13"/>
    </row>
    <row r="65" spans="1:9" ht="17">
      <c r="A65" s="13"/>
      <c r="B65" s="13"/>
      <c r="C65" s="13"/>
      <c r="D65" s="13"/>
      <c r="E65" s="13"/>
      <c r="F65" s="13"/>
      <c r="G65" s="13"/>
      <c r="H65" s="13"/>
      <c r="I65" s="13"/>
    </row>
    <row r="66" spans="1:9" ht="17">
      <c r="A66" s="13"/>
      <c r="B66" s="13"/>
      <c r="C66" s="13"/>
      <c r="D66" s="13"/>
      <c r="E66" s="13"/>
      <c r="F66" s="13"/>
      <c r="G66" s="13"/>
      <c r="H66" s="13"/>
      <c r="I66" s="13"/>
    </row>
    <row r="67" spans="1:9" ht="17">
      <c r="A67" s="13"/>
      <c r="B67" s="13"/>
      <c r="C67" s="13"/>
      <c r="D67" s="13"/>
      <c r="E67" s="13"/>
      <c r="F67" s="13"/>
      <c r="G67" s="13"/>
      <c r="H67" s="13"/>
      <c r="I67" s="13"/>
    </row>
    <row r="68" spans="1:9" ht="17">
      <c r="A68" s="13"/>
      <c r="B68" s="13"/>
      <c r="C68" s="13"/>
      <c r="D68" s="13"/>
      <c r="E68" s="13"/>
      <c r="F68" s="13"/>
      <c r="G68" s="13"/>
      <c r="H68" s="13"/>
      <c r="I68" s="13"/>
    </row>
    <row r="69" spans="1:9" ht="17">
      <c r="A69" s="13"/>
      <c r="B69" s="13"/>
      <c r="C69" s="13"/>
      <c r="D69" s="13"/>
      <c r="E69" s="13"/>
      <c r="F69" s="13"/>
      <c r="G69" s="13"/>
      <c r="H69" s="13"/>
      <c r="I69" s="13"/>
    </row>
    <row r="70" spans="1:9" ht="17">
      <c r="A70" s="13"/>
      <c r="B70" s="13"/>
      <c r="C70" s="13"/>
      <c r="D70" s="13"/>
      <c r="E70" s="13"/>
      <c r="F70" s="13"/>
      <c r="G70" s="13"/>
      <c r="H70" s="13"/>
      <c r="I70" s="13"/>
    </row>
    <row r="71" spans="1:9" ht="17">
      <c r="A71" s="13"/>
      <c r="B71" s="13"/>
      <c r="C71" s="13"/>
      <c r="D71" s="13"/>
      <c r="E71" s="13"/>
      <c r="F71" s="13"/>
      <c r="G71" s="13"/>
      <c r="H71" s="13"/>
      <c r="I71" s="13"/>
    </row>
    <row r="72" spans="1:9" ht="17">
      <c r="A72" s="13"/>
      <c r="B72" s="13"/>
      <c r="C72" s="13"/>
      <c r="D72" s="13"/>
      <c r="E72" s="13"/>
      <c r="F72" s="13"/>
      <c r="G72" s="13"/>
      <c r="H72" s="13"/>
      <c r="I72" s="13"/>
    </row>
    <row r="73" spans="1:9" ht="17">
      <c r="A73" s="13"/>
      <c r="B73" s="13"/>
      <c r="C73" s="13"/>
      <c r="D73" s="13"/>
      <c r="E73" s="13"/>
      <c r="F73" s="13"/>
      <c r="G73" s="13"/>
      <c r="H73" s="13"/>
      <c r="I73" s="13"/>
    </row>
    <row r="74" spans="1:9" ht="17">
      <c r="A74" s="13"/>
      <c r="B74" s="13"/>
      <c r="C74" s="13"/>
      <c r="D74" s="13"/>
      <c r="E74" s="13"/>
      <c r="F74" s="13"/>
      <c r="G74" s="13"/>
      <c r="H74" s="13"/>
      <c r="I74" s="13"/>
    </row>
    <row r="75" spans="1:9" ht="17">
      <c r="A75" s="13"/>
      <c r="B75" s="13"/>
      <c r="C75" s="13"/>
      <c r="D75" s="13"/>
      <c r="E75" s="13"/>
      <c r="F75" s="13"/>
      <c r="G75" s="13"/>
      <c r="H75" s="13"/>
      <c r="I75" s="13"/>
    </row>
    <row r="76" spans="1:9" ht="17">
      <c r="A76" s="13"/>
      <c r="B76" s="13"/>
      <c r="C76" s="13"/>
      <c r="D76" s="13"/>
      <c r="E76" s="13"/>
      <c r="F76" s="13"/>
      <c r="G76" s="13"/>
      <c r="H76" s="13"/>
      <c r="I76" s="13"/>
    </row>
    <row r="77" spans="1:9" ht="17">
      <c r="A77" s="13"/>
      <c r="B77" s="13"/>
      <c r="C77" s="13"/>
      <c r="D77" s="13"/>
      <c r="E77" s="13"/>
      <c r="F77" s="13"/>
      <c r="G77" s="13"/>
      <c r="H77" s="13"/>
      <c r="I77" s="13"/>
    </row>
    <row r="78" spans="1:9" ht="17">
      <c r="A78" s="13"/>
      <c r="B78" s="13"/>
      <c r="C78" s="13"/>
      <c r="D78" s="13"/>
      <c r="E78" s="13"/>
      <c r="F78" s="13"/>
      <c r="G78" s="13"/>
      <c r="H78" s="13"/>
      <c r="I78" s="13"/>
    </row>
    <row r="79" spans="1:9" ht="17">
      <c r="A79" s="13"/>
      <c r="B79" s="13"/>
      <c r="C79" s="13"/>
      <c r="D79" s="13"/>
      <c r="E79" s="13"/>
      <c r="F79" s="13"/>
      <c r="G79" s="13"/>
      <c r="H79" s="13"/>
      <c r="I79" s="13"/>
    </row>
    <row r="80" spans="1:9" ht="17">
      <c r="A80" s="13"/>
      <c r="B80" s="13"/>
      <c r="C80" s="13"/>
      <c r="D80" s="13"/>
      <c r="E80" s="13"/>
      <c r="F80" s="13"/>
      <c r="G80" s="13"/>
      <c r="H80" s="13"/>
      <c r="I80" s="13"/>
    </row>
    <row r="81" spans="1:9" ht="17">
      <c r="A81" s="13"/>
      <c r="B81" s="13"/>
      <c r="C81" s="13"/>
      <c r="D81" s="13"/>
      <c r="E81" s="13"/>
      <c r="F81" s="13"/>
      <c r="G81" s="13"/>
      <c r="H81" s="13"/>
      <c r="I81" s="13"/>
    </row>
    <row r="82" spans="1:9" ht="17">
      <c r="A82" s="13"/>
      <c r="B82" s="13"/>
      <c r="C82" s="13"/>
      <c r="D82" s="13"/>
      <c r="E82" s="13"/>
      <c r="F82" s="13"/>
      <c r="G82" s="13"/>
      <c r="H82" s="13"/>
      <c r="I82" s="13"/>
    </row>
    <row r="83" spans="1:9" ht="17">
      <c r="A83" s="13"/>
      <c r="B83" s="13"/>
      <c r="C83" s="13"/>
      <c r="D83" s="13"/>
      <c r="E83" s="13"/>
      <c r="F83" s="13"/>
      <c r="G83" s="13"/>
      <c r="H83" s="13"/>
      <c r="I83" s="13"/>
    </row>
    <row r="84" spans="1:9" ht="17">
      <c r="A84" s="13"/>
      <c r="B84" s="13"/>
      <c r="C84" s="13"/>
      <c r="D84" s="13"/>
      <c r="E84" s="13"/>
      <c r="F84" s="13"/>
      <c r="G84" s="13"/>
      <c r="H84" s="13"/>
      <c r="I84" s="13"/>
    </row>
    <row r="85" spans="1:9" ht="17">
      <c r="A85" s="13"/>
      <c r="B85" s="13"/>
      <c r="C85" s="13"/>
      <c r="D85" s="13"/>
      <c r="E85" s="13"/>
      <c r="F85" s="13"/>
      <c r="G85" s="13"/>
      <c r="H85" s="13"/>
      <c r="I85" s="13"/>
    </row>
    <row r="86" spans="1:9" ht="17">
      <c r="A86" s="13"/>
      <c r="B86" s="13"/>
      <c r="C86" s="13"/>
      <c r="D86" s="13"/>
      <c r="E86" s="13"/>
      <c r="F86" s="13"/>
      <c r="G86" s="13"/>
      <c r="H86" s="13"/>
      <c r="I86" s="13"/>
    </row>
    <row r="87" spans="1:9" ht="17">
      <c r="A87" s="13"/>
      <c r="B87" s="13"/>
      <c r="C87" s="13"/>
      <c r="D87" s="13"/>
      <c r="E87" s="13"/>
      <c r="F87" s="13"/>
      <c r="G87" s="13"/>
      <c r="H87" s="13"/>
      <c r="I87" s="13"/>
    </row>
    <row r="88" spans="1:9" ht="17">
      <c r="A88" s="13"/>
      <c r="B88" s="13"/>
      <c r="C88" s="13"/>
      <c r="D88" s="13"/>
      <c r="E88" s="13"/>
      <c r="F88" s="13"/>
      <c r="G88" s="13"/>
      <c r="H88" s="13"/>
      <c r="I88" s="13"/>
    </row>
    <row r="89" spans="1:9" ht="17">
      <c r="A89" s="13"/>
      <c r="B89" s="13"/>
      <c r="C89" s="13"/>
      <c r="D89" s="13"/>
      <c r="E89" s="13"/>
      <c r="F89" s="13"/>
      <c r="G89" s="13"/>
      <c r="H89" s="13"/>
      <c r="I89" s="13"/>
    </row>
    <row r="90" spans="1:9" ht="17">
      <c r="A90" s="13"/>
      <c r="B90" s="13"/>
      <c r="C90" s="13"/>
      <c r="D90" s="13"/>
      <c r="E90" s="13"/>
      <c r="F90" s="13"/>
      <c r="G90" s="13"/>
      <c r="H90" s="13"/>
      <c r="I90" s="13"/>
    </row>
    <row r="91" spans="1:9" ht="17">
      <c r="A91" s="13"/>
      <c r="B91" s="13"/>
      <c r="C91" s="13"/>
      <c r="D91" s="13"/>
      <c r="E91" s="13"/>
      <c r="F91" s="13"/>
      <c r="G91" s="13"/>
      <c r="H91" s="13"/>
      <c r="I91" s="13"/>
    </row>
    <row r="92" spans="1:9" ht="17">
      <c r="A92" s="13"/>
      <c r="B92" s="13"/>
      <c r="C92" s="13"/>
      <c r="D92" s="13"/>
      <c r="E92" s="13"/>
      <c r="F92" s="13"/>
      <c r="G92" s="13"/>
      <c r="H92" s="13"/>
      <c r="I92" s="13"/>
    </row>
    <row r="93" spans="1:9" ht="17">
      <c r="A93" s="13"/>
      <c r="B93" s="13"/>
      <c r="C93" s="13"/>
      <c r="D93" s="13"/>
      <c r="E93" s="13"/>
      <c r="F93" s="13"/>
      <c r="G93" s="13"/>
      <c r="H93" s="13"/>
      <c r="I93" s="13"/>
    </row>
    <row r="94" spans="1:9" ht="17">
      <c r="A94" s="13"/>
      <c r="B94" s="13"/>
      <c r="C94" s="13"/>
      <c r="D94" s="13"/>
      <c r="E94" s="13"/>
      <c r="F94" s="13"/>
      <c r="G94" s="13"/>
      <c r="H94" s="13"/>
      <c r="I94" s="13"/>
    </row>
    <row r="95" spans="1:9" ht="17">
      <c r="A95" s="13"/>
      <c r="B95" s="13"/>
      <c r="C95" s="13"/>
      <c r="D95" s="13"/>
      <c r="E95" s="13"/>
      <c r="F95" s="13"/>
      <c r="G95" s="13"/>
      <c r="H95" s="13"/>
      <c r="I95" s="13"/>
    </row>
    <row r="96" spans="1:9" ht="17">
      <c r="A96" s="13"/>
      <c r="B96" s="13"/>
      <c r="C96" s="13"/>
      <c r="D96" s="13"/>
      <c r="E96" s="13"/>
      <c r="F96" s="13"/>
      <c r="G96" s="13"/>
      <c r="H96" s="13"/>
      <c r="I96" s="13"/>
    </row>
    <row r="97" spans="1:9" ht="17">
      <c r="A97" s="13"/>
      <c r="B97" s="13"/>
      <c r="C97" s="13"/>
      <c r="D97" s="13"/>
      <c r="E97" s="13"/>
      <c r="F97" s="13"/>
      <c r="G97" s="13"/>
      <c r="H97" s="13"/>
      <c r="I97" s="13"/>
    </row>
    <row r="98" spans="1:9" ht="17">
      <c r="A98" s="13"/>
      <c r="B98" s="13"/>
      <c r="C98" s="13"/>
      <c r="D98" s="13"/>
      <c r="E98" s="13"/>
      <c r="F98" s="13"/>
      <c r="G98" s="13"/>
      <c r="H98" s="13"/>
      <c r="I98" s="13"/>
    </row>
    <row r="99" spans="1:9" ht="17">
      <c r="A99" s="13"/>
      <c r="B99" s="13"/>
      <c r="C99" s="13"/>
      <c r="D99" s="13"/>
      <c r="E99" s="13"/>
      <c r="F99" s="13"/>
      <c r="G99" s="13"/>
      <c r="H99" s="13"/>
      <c r="I99" s="13"/>
    </row>
    <row r="100" spans="1:9" ht="17">
      <c r="A100" s="13"/>
      <c r="B100" s="13"/>
      <c r="C100" s="13"/>
      <c r="D100" s="13"/>
      <c r="E100" s="13"/>
      <c r="F100" s="13"/>
      <c r="G100" s="13"/>
      <c r="H100" s="13"/>
      <c r="I100" s="13"/>
    </row>
    <row r="101" spans="1:9" ht="17">
      <c r="A101" s="13"/>
      <c r="B101" s="13"/>
      <c r="C101" s="13"/>
      <c r="D101" s="13"/>
      <c r="E101" s="13"/>
      <c r="F101" s="13"/>
      <c r="G101" s="13"/>
      <c r="H101" s="13"/>
      <c r="I101" s="13"/>
    </row>
    <row r="102" spans="1:9" ht="17">
      <c r="A102" s="13"/>
      <c r="B102" s="13"/>
      <c r="C102" s="13"/>
      <c r="D102" s="13"/>
      <c r="E102" s="13"/>
      <c r="F102" s="13"/>
      <c r="G102" s="13"/>
      <c r="H102" s="13"/>
      <c r="I102" s="13"/>
    </row>
    <row r="103" spans="1:9" ht="17">
      <c r="A103" s="13"/>
      <c r="B103" s="13"/>
      <c r="C103" s="13"/>
      <c r="D103" s="13"/>
      <c r="E103" s="13"/>
      <c r="F103" s="13"/>
      <c r="G103" s="13"/>
      <c r="H103" s="13"/>
      <c r="I103" s="13"/>
    </row>
    <row r="104" spans="1:9" ht="17">
      <c r="A104" s="13"/>
      <c r="B104" s="13"/>
      <c r="C104" s="13"/>
      <c r="D104" s="13"/>
      <c r="E104" s="13"/>
      <c r="F104" s="13"/>
      <c r="G104" s="13"/>
      <c r="H104" s="13"/>
      <c r="I104" s="13"/>
    </row>
    <row r="105" spans="1:9" ht="17">
      <c r="A105" s="13"/>
      <c r="B105" s="13"/>
      <c r="C105" s="13"/>
      <c r="D105" s="13"/>
      <c r="E105" s="13"/>
      <c r="F105" s="13"/>
      <c r="G105" s="13"/>
      <c r="H105" s="13"/>
      <c r="I105" s="13"/>
    </row>
    <row r="106" spans="1:9" ht="17">
      <c r="A106" s="13"/>
      <c r="B106" s="13"/>
      <c r="C106" s="13"/>
      <c r="D106" s="13"/>
      <c r="E106" s="13"/>
      <c r="F106" s="13"/>
      <c r="G106" s="13"/>
      <c r="H106" s="13"/>
      <c r="I106" s="13"/>
    </row>
    <row r="107" spans="1:9" ht="17">
      <c r="A107" s="13"/>
      <c r="B107" s="13"/>
      <c r="C107" s="13"/>
      <c r="D107" s="13"/>
      <c r="E107" s="13"/>
      <c r="F107" s="13"/>
      <c r="G107" s="13"/>
      <c r="H107" s="13"/>
      <c r="I107" s="13"/>
    </row>
    <row r="108" spans="1:9" ht="17">
      <c r="A108" s="13"/>
      <c r="B108" s="13"/>
      <c r="C108" s="13"/>
      <c r="D108" s="13"/>
      <c r="E108" s="13"/>
      <c r="F108" s="13"/>
      <c r="G108" s="13"/>
      <c r="H108" s="13"/>
      <c r="I108" s="13"/>
    </row>
    <row r="109" spans="1:9" ht="17">
      <c r="A109" s="13"/>
      <c r="B109" s="13"/>
      <c r="C109" s="13"/>
      <c r="D109" s="13"/>
      <c r="E109" s="13"/>
      <c r="F109" s="13"/>
      <c r="G109" s="13"/>
      <c r="H109" s="13"/>
      <c r="I109" s="13"/>
    </row>
    <row r="110" spans="1:9" ht="17">
      <c r="A110" s="13"/>
      <c r="B110" s="13"/>
      <c r="C110" s="13"/>
      <c r="D110" s="13"/>
      <c r="E110" s="13"/>
      <c r="F110" s="13"/>
      <c r="G110" s="13"/>
      <c r="H110" s="13"/>
      <c r="I110" s="13"/>
    </row>
    <row r="111" spans="1:9" ht="17">
      <c r="A111" s="13"/>
      <c r="B111" s="13"/>
      <c r="C111" s="13"/>
      <c r="D111" s="13"/>
      <c r="E111" s="13"/>
      <c r="F111" s="13"/>
      <c r="G111" s="13"/>
      <c r="H111" s="13"/>
      <c r="I111" s="13"/>
    </row>
    <row r="112" spans="1:9" ht="17">
      <c r="A112" s="13"/>
      <c r="B112" s="13"/>
      <c r="C112" s="13"/>
      <c r="D112" s="13"/>
      <c r="E112" s="13"/>
      <c r="F112" s="13"/>
      <c r="G112" s="13"/>
      <c r="H112" s="13"/>
      <c r="I112" s="13"/>
    </row>
    <row r="113" spans="1:9" ht="17">
      <c r="A113" s="13"/>
      <c r="B113" s="13"/>
      <c r="C113" s="13"/>
      <c r="D113" s="13"/>
      <c r="E113" s="13"/>
      <c r="F113" s="13"/>
      <c r="G113" s="13"/>
      <c r="H113" s="13"/>
      <c r="I113" s="13"/>
    </row>
    <row r="114" spans="1:9" ht="17">
      <c r="A114" s="13"/>
      <c r="B114" s="13"/>
      <c r="C114" s="13"/>
      <c r="D114" s="13"/>
      <c r="E114" s="13"/>
      <c r="F114" s="13"/>
      <c r="G114" s="13"/>
      <c r="H114" s="13"/>
      <c r="I114" s="13"/>
    </row>
    <row r="115" spans="1:9" ht="17">
      <c r="A115" s="13"/>
      <c r="B115" s="13"/>
      <c r="C115" s="13"/>
      <c r="D115" s="13"/>
      <c r="E115" s="13"/>
      <c r="F115" s="13"/>
      <c r="G115" s="13"/>
      <c r="H115" s="13"/>
      <c r="I115" s="13"/>
    </row>
    <row r="116" spans="1:9" ht="17">
      <c r="A116" s="13"/>
      <c r="B116" s="13"/>
      <c r="C116" s="13"/>
      <c r="D116" s="13"/>
      <c r="E116" s="13"/>
      <c r="F116" s="13"/>
      <c r="G116" s="13"/>
      <c r="H116" s="13"/>
      <c r="I116" s="13"/>
    </row>
    <row r="117" spans="1:9" ht="17">
      <c r="A117" s="13"/>
      <c r="B117" s="13"/>
      <c r="C117" s="13"/>
      <c r="D117" s="13"/>
      <c r="E117" s="13"/>
      <c r="F117" s="13"/>
      <c r="G117" s="13"/>
      <c r="H117" s="13"/>
      <c r="I117" s="13"/>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9282-6164-4F23-8F00-A2369B6B55B2}">
  <sheetPr>
    <tabColor rgb="FF92D050"/>
  </sheetPr>
  <dimension ref="A1:N49"/>
  <sheetViews>
    <sheetView view="pageBreakPreview" topLeftCell="A9" zoomScale="70" zoomScaleNormal="80" zoomScaleSheetLayoutView="70" workbookViewId="0">
      <selection activeCell="H34" sqref="H34"/>
    </sheetView>
  </sheetViews>
  <sheetFormatPr defaultRowHeight="14.5"/>
  <cols>
    <col min="1" max="1" width="21.54296875" customWidth="1"/>
    <col min="2" max="2" width="38.453125" customWidth="1"/>
    <col min="3" max="3" width="25" customWidth="1"/>
    <col min="4" max="4" width="28.81640625" customWidth="1"/>
    <col min="5" max="5" width="22.453125" customWidth="1"/>
    <col min="6" max="6" width="22.7265625" customWidth="1"/>
    <col min="7" max="7" width="25" customWidth="1"/>
    <col min="8" max="8" width="26.7265625" customWidth="1"/>
    <col min="9" max="9" width="21.54296875" customWidth="1"/>
    <col min="10" max="10" width="21.26953125" customWidth="1"/>
    <col min="11" max="11" width="4.453125" customWidth="1"/>
    <col min="12" max="12" width="22.7265625" customWidth="1"/>
    <col min="13" max="13" width="17.26953125" customWidth="1"/>
  </cols>
  <sheetData>
    <row r="1" spans="1:14" ht="25.5">
      <c r="A1" s="25" t="s">
        <v>1</v>
      </c>
      <c r="C1" s="13"/>
      <c r="D1" s="13"/>
      <c r="E1" s="13"/>
      <c r="F1" s="13"/>
      <c r="G1" s="13"/>
      <c r="H1" s="13"/>
      <c r="I1" s="13"/>
      <c r="J1" s="13"/>
      <c r="K1" s="13"/>
      <c r="L1" s="13"/>
      <c r="M1" s="13"/>
      <c r="N1" s="13"/>
    </row>
    <row r="2" spans="1:14" ht="17.5">
      <c r="A2" s="65" t="s">
        <v>9</v>
      </c>
      <c r="C2" s="13"/>
      <c r="D2" s="13"/>
      <c r="E2" s="13"/>
      <c r="F2" s="13"/>
      <c r="G2" s="13"/>
      <c r="H2" s="13"/>
      <c r="I2" s="13"/>
      <c r="J2" s="13"/>
      <c r="K2" s="13"/>
      <c r="L2" s="13"/>
      <c r="M2" s="13"/>
      <c r="N2" s="13"/>
    </row>
    <row r="3" spans="1:14" ht="17">
      <c r="A3" s="27" t="s">
        <v>487</v>
      </c>
      <c r="C3" s="13"/>
      <c r="D3" s="13"/>
      <c r="E3" s="13"/>
      <c r="F3" s="13"/>
      <c r="G3" s="13"/>
      <c r="H3" s="13"/>
      <c r="I3" s="13"/>
      <c r="J3" s="13"/>
      <c r="K3" s="13"/>
      <c r="L3" s="13"/>
      <c r="M3" s="13"/>
      <c r="N3" s="13"/>
    </row>
    <row r="4" spans="1:14" ht="17">
      <c r="A4" s="13"/>
      <c r="C4" s="13"/>
      <c r="D4" s="13"/>
      <c r="E4" s="28" t="s">
        <v>0</v>
      </c>
      <c r="F4" s="13"/>
      <c r="G4" s="13"/>
      <c r="H4" s="13"/>
      <c r="I4" s="13"/>
      <c r="J4" s="13"/>
      <c r="K4" s="13"/>
      <c r="L4" s="13"/>
      <c r="M4" s="13"/>
      <c r="N4" s="13"/>
    </row>
    <row r="5" spans="1:14" ht="18" thickBot="1">
      <c r="A5" s="65"/>
      <c r="C5" s="13"/>
      <c r="D5" s="13"/>
      <c r="E5" s="13"/>
      <c r="F5" s="13"/>
      <c r="G5" s="13"/>
      <c r="H5" s="13"/>
      <c r="I5" s="13"/>
      <c r="J5" s="13"/>
      <c r="K5" s="13"/>
      <c r="L5" s="13"/>
      <c r="M5" s="13"/>
      <c r="N5" s="13"/>
    </row>
    <row r="6" spans="1:14" ht="21.5" thickBot="1">
      <c r="A6" s="272" t="str">
        <f>+'S&amp;D'!A12</f>
        <v>Natural Gas Utility Distribution</v>
      </c>
      <c r="B6" s="195"/>
      <c r="C6" s="13"/>
      <c r="D6" s="13"/>
      <c r="E6" s="13"/>
      <c r="F6" s="13"/>
      <c r="G6" s="13"/>
      <c r="H6" s="13"/>
    </row>
    <row r="7" spans="1:14" ht="18" thickBot="1">
      <c r="A7" s="65"/>
      <c r="C7" s="30"/>
      <c r="D7" s="30"/>
      <c r="E7" s="30"/>
      <c r="F7" s="30"/>
      <c r="G7" s="30"/>
      <c r="H7" s="13"/>
    </row>
    <row r="8" spans="1:14" ht="25.5">
      <c r="C8" s="13"/>
      <c r="D8" s="13"/>
      <c r="E8" s="33" t="s">
        <v>371</v>
      </c>
      <c r="F8" s="13"/>
      <c r="G8" s="13"/>
      <c r="H8" s="13"/>
    </row>
    <row r="9" spans="1:14" ht="21.5" thickBot="1">
      <c r="B9" s="32"/>
      <c r="C9" s="30"/>
      <c r="D9" s="30"/>
      <c r="E9" s="38" t="s">
        <v>488</v>
      </c>
      <c r="F9" s="30"/>
      <c r="G9" s="30"/>
      <c r="H9" s="13"/>
    </row>
    <row r="10" spans="1:14" ht="17.5" thickBot="1">
      <c r="B10" s="35" t="s">
        <v>0</v>
      </c>
      <c r="C10" s="35" t="s">
        <v>0</v>
      </c>
      <c r="D10" s="35" t="s">
        <v>0</v>
      </c>
      <c r="E10" s="35" t="s">
        <v>0</v>
      </c>
      <c r="F10" s="35" t="s">
        <v>0</v>
      </c>
      <c r="G10" s="35" t="s">
        <v>0</v>
      </c>
      <c r="H10" s="30"/>
    </row>
    <row r="11" spans="1:14" ht="17">
      <c r="B11" s="36" t="s">
        <v>0</v>
      </c>
      <c r="C11" s="36" t="s">
        <v>3</v>
      </c>
      <c r="D11" s="36" t="s">
        <v>0</v>
      </c>
      <c r="E11" s="36" t="s">
        <v>372</v>
      </c>
      <c r="F11" s="36" t="s">
        <v>254</v>
      </c>
      <c r="G11" s="36" t="s">
        <v>373</v>
      </c>
      <c r="H11" s="36" t="s">
        <v>373</v>
      </c>
    </row>
    <row r="12" spans="1:14" ht="17.5" thickBot="1">
      <c r="B12" s="38" t="s">
        <v>2</v>
      </c>
      <c r="C12" s="38" t="s">
        <v>4</v>
      </c>
      <c r="D12" s="38" t="s">
        <v>28</v>
      </c>
      <c r="E12" s="38" t="s">
        <v>188</v>
      </c>
      <c r="F12" s="38" t="s">
        <v>374</v>
      </c>
      <c r="G12" s="38" t="s">
        <v>394</v>
      </c>
      <c r="H12" s="38" t="s">
        <v>29</v>
      </c>
    </row>
    <row r="13" spans="1:14" ht="15">
      <c r="B13" s="40" t="s">
        <v>0</v>
      </c>
      <c r="C13" s="40" t="s">
        <v>0</v>
      </c>
      <c r="D13" s="41" t="s">
        <v>132</v>
      </c>
      <c r="E13" s="40" t="s">
        <v>133</v>
      </c>
      <c r="F13" s="40" t="s">
        <v>0</v>
      </c>
      <c r="G13" s="40" t="s">
        <v>133</v>
      </c>
      <c r="H13" s="40" t="s">
        <v>0</v>
      </c>
    </row>
    <row r="14" spans="1:14" ht="17">
      <c r="B14" s="36"/>
      <c r="C14" s="36"/>
      <c r="D14" s="36"/>
      <c r="E14" s="36"/>
      <c r="F14" s="36"/>
      <c r="G14" s="36"/>
      <c r="H14" s="36"/>
    </row>
    <row r="15" spans="1:14" ht="17">
      <c r="B15" s="13"/>
      <c r="C15" s="13"/>
      <c r="D15" s="13"/>
      <c r="E15" s="13"/>
      <c r="F15" s="13"/>
      <c r="G15" s="13"/>
      <c r="H15" s="13"/>
    </row>
    <row r="16" spans="1:14" ht="17.5">
      <c r="B16" s="65" t="str">
        <f>+'S&amp;D'!A22</f>
        <v>Atmos Energy Corp</v>
      </c>
      <c r="C16" s="92" t="str">
        <f>+'S&amp;D'!B22</f>
        <v>ATO</v>
      </c>
      <c r="D16" s="189">
        <f>+'S&amp;D'!G22</f>
        <v>115.9</v>
      </c>
      <c r="E16" s="300">
        <v>26.75</v>
      </c>
      <c r="F16" s="74">
        <f>D16/E16</f>
        <v>4.3327102803738322</v>
      </c>
      <c r="G16" s="300">
        <v>74.900000000000006</v>
      </c>
      <c r="H16" s="354">
        <f>D16/G16</f>
        <v>1.5473965287049398</v>
      </c>
    </row>
    <row r="17" spans="2:8" ht="17.5">
      <c r="B17" s="65" t="str">
        <f>+'S&amp;D'!A23</f>
        <v>Black Hills Corporation</v>
      </c>
      <c r="C17" s="92" t="str">
        <f>+'S&amp;D'!B23</f>
        <v>BKH</v>
      </c>
      <c r="D17" s="189">
        <f>+'S&amp;D'!G23</f>
        <v>53.95</v>
      </c>
      <c r="E17" s="300">
        <v>35.700000000000003</v>
      </c>
      <c r="F17" s="354">
        <f>D17/E17</f>
        <v>1.511204481792717</v>
      </c>
      <c r="G17" s="300">
        <v>48.8</v>
      </c>
      <c r="H17" s="74">
        <f t="shared" ref="H17:H26" si="0">D17/G17</f>
        <v>1.105532786885246</v>
      </c>
    </row>
    <row r="18" spans="2:8" ht="17.5">
      <c r="B18" s="65" t="str">
        <f>+'S&amp;D'!A24</f>
        <v>CenterPoint Energy Inc.</v>
      </c>
      <c r="C18" s="92" t="str">
        <f>+'S&amp;D'!B24</f>
        <v>CNP</v>
      </c>
      <c r="D18" s="189">
        <f>+'S&amp;D'!G24</f>
        <v>28.57</v>
      </c>
      <c r="E18" s="300">
        <v>15.1</v>
      </c>
      <c r="F18" s="74">
        <f>D18/E18</f>
        <v>1.8920529801324504</v>
      </c>
      <c r="G18" s="300">
        <v>16.55</v>
      </c>
      <c r="H18" s="74">
        <f t="shared" si="0"/>
        <v>1.7262839879154077</v>
      </c>
    </row>
    <row r="19" spans="2:8" ht="17.5">
      <c r="B19" s="65" t="str">
        <f>+'S&amp;D'!A25</f>
        <v>CMS Energy Corporation</v>
      </c>
      <c r="C19" s="92" t="str">
        <f>+'S&amp;D'!B25</f>
        <v>CMS</v>
      </c>
      <c r="D19" s="189">
        <f>+'S&amp;D'!G25</f>
        <v>58.07</v>
      </c>
      <c r="E19" s="300">
        <v>28.8</v>
      </c>
      <c r="F19" s="74">
        <f>D19/E19</f>
        <v>2.0163194444444446</v>
      </c>
      <c r="G19" s="300">
        <v>26.35</v>
      </c>
      <c r="H19" s="74">
        <f t="shared" si="0"/>
        <v>2.2037950664136621</v>
      </c>
    </row>
    <row r="20" spans="2:8" ht="17.5">
      <c r="B20" s="65" t="str">
        <f>+'S&amp;D'!A26</f>
        <v>New Jersey Resources Corp</v>
      </c>
      <c r="C20" s="92" t="str">
        <f>+'S&amp;D'!B26</f>
        <v>NJR</v>
      </c>
      <c r="D20" s="189">
        <f>+'S&amp;D'!G26</f>
        <v>44.58</v>
      </c>
      <c r="E20" s="300">
        <v>21.5</v>
      </c>
      <c r="F20" s="74">
        <f t="shared" ref="F20:F25" si="1">D20/E20</f>
        <v>2.0734883720930233</v>
      </c>
      <c r="G20" s="300">
        <v>22.3</v>
      </c>
      <c r="H20" s="74">
        <f t="shared" si="0"/>
        <v>1.9991031390134528</v>
      </c>
    </row>
    <row r="21" spans="2:8" ht="17.5">
      <c r="B21" s="65" t="str">
        <f>+'S&amp;D'!A27</f>
        <v>NISOURCE Inc.</v>
      </c>
      <c r="C21" s="92" t="str">
        <f>+'S&amp;D'!B27</f>
        <v>NI</v>
      </c>
      <c r="D21" s="189">
        <f>+'S&amp;D'!G27</f>
        <v>26.55</v>
      </c>
      <c r="E21" s="300">
        <v>14.6</v>
      </c>
      <c r="F21" s="354">
        <f t="shared" si="1"/>
        <v>1.8184931506849316</v>
      </c>
      <c r="G21" s="300">
        <v>20</v>
      </c>
      <c r="H21" s="74">
        <f t="shared" si="0"/>
        <v>1.3275000000000001</v>
      </c>
    </row>
    <row r="22" spans="2:8" ht="17.5">
      <c r="B22" s="65" t="str">
        <f>+'S&amp;D'!A28</f>
        <v xml:space="preserve">Northwest Natural Holding Company </v>
      </c>
      <c r="C22" s="92" t="str">
        <f>+'S&amp;D'!B28</f>
        <v>NWN</v>
      </c>
      <c r="D22" s="189">
        <f>+'S&amp;D'!G28</f>
        <v>38.94</v>
      </c>
      <c r="E22" s="300">
        <v>30.25</v>
      </c>
      <c r="F22" s="74">
        <f t="shared" si="1"/>
        <v>1.2872727272727271</v>
      </c>
      <c r="G22" s="300">
        <v>39.700000000000003</v>
      </c>
      <c r="H22" s="74">
        <f t="shared" si="0"/>
        <v>0.98085642317380339</v>
      </c>
    </row>
    <row r="23" spans="2:8" ht="17.5">
      <c r="B23" s="65" t="str">
        <f>+'S&amp;D'!A29</f>
        <v>One Gas INC</v>
      </c>
      <c r="C23" s="92" t="str">
        <f>+'S&amp;D'!B29</f>
        <v>OGS</v>
      </c>
      <c r="D23" s="189">
        <f>+'S&amp;D'!G29</f>
        <v>63.72</v>
      </c>
      <c r="E23" s="300">
        <v>47.55</v>
      </c>
      <c r="F23" s="74">
        <f t="shared" si="1"/>
        <v>1.3400630914826499</v>
      </c>
      <c r="G23" s="300">
        <v>49.55</v>
      </c>
      <c r="H23" s="74">
        <f t="shared" si="0"/>
        <v>1.2859737638748738</v>
      </c>
    </row>
    <row r="24" spans="2:8" ht="17.5">
      <c r="B24" s="65" t="str">
        <f>+'S&amp;D'!A30</f>
        <v>Southwest Gas Holdings, Inc</v>
      </c>
      <c r="C24" s="92" t="str">
        <f>+'S&amp;D'!B30</f>
        <v>SWX</v>
      </c>
      <c r="D24" s="189">
        <f>+'S&amp;D'!G30</f>
        <v>63.35</v>
      </c>
      <c r="E24" s="300">
        <v>71.599999999999994</v>
      </c>
      <c r="F24" s="74">
        <f t="shared" si="1"/>
        <v>0.88477653631284925</v>
      </c>
      <c r="G24" s="300">
        <v>52.2</v>
      </c>
      <c r="H24" s="74">
        <f t="shared" si="0"/>
        <v>1.2136015325670497</v>
      </c>
    </row>
    <row r="25" spans="2:8" ht="16.5" customHeight="1">
      <c r="B25" s="65" t="str">
        <f>+'S&amp;D'!A31</f>
        <v>Spire Inc / Laclede Group Inc</v>
      </c>
      <c r="C25" s="92" t="str">
        <f>+'S&amp;D'!B31</f>
        <v>SR</v>
      </c>
      <c r="D25" s="189">
        <f>+'S&amp;D'!G31</f>
        <v>62.34</v>
      </c>
      <c r="E25" s="300">
        <v>48.9</v>
      </c>
      <c r="F25" s="74">
        <f t="shared" si="1"/>
        <v>1.2748466257668714</v>
      </c>
      <c r="G25" s="300">
        <v>55.45</v>
      </c>
      <c r="H25" s="354">
        <f t="shared" si="0"/>
        <v>1.1242560865644724</v>
      </c>
    </row>
    <row r="26" spans="2:8" ht="17.5">
      <c r="B26" s="65" t="str">
        <f>+'S&amp;D'!A32</f>
        <v>WEC Energy Group</v>
      </c>
      <c r="C26" s="92" t="str">
        <f>+'S&amp;D'!B32</f>
        <v>WEC</v>
      </c>
      <c r="D26" s="189">
        <f>+'S&amp;D'!G32</f>
        <v>84.17</v>
      </c>
      <c r="E26" s="300">
        <v>30.1</v>
      </c>
      <c r="F26" s="354">
        <f>D26/E26</f>
        <v>2.7963455149501661</v>
      </c>
      <c r="G26" s="300">
        <v>37.9</v>
      </c>
      <c r="H26" s="74">
        <f t="shared" si="0"/>
        <v>2.2208443271767813</v>
      </c>
    </row>
    <row r="27" spans="2:8" ht="10.5" customHeight="1" thickBot="1">
      <c r="B27" s="13"/>
      <c r="E27" s="73"/>
      <c r="F27" s="73"/>
      <c r="G27" s="73"/>
      <c r="H27" s="73"/>
    </row>
    <row r="28" spans="2:8" ht="17.5" thickTop="1">
      <c r="B28" s="13"/>
      <c r="D28" s="15" t="s">
        <v>56</v>
      </c>
      <c r="E28" s="17">
        <f>MAX(E16:E26)</f>
        <v>71.599999999999994</v>
      </c>
      <c r="F28" s="312">
        <f t="shared" ref="F28:H28" si="2">MAX(F16:F26)</f>
        <v>4.3327102803738322</v>
      </c>
      <c r="G28" s="17">
        <f t="shared" si="2"/>
        <v>74.900000000000006</v>
      </c>
      <c r="H28" s="17">
        <f t="shared" si="2"/>
        <v>2.2208443271767813</v>
      </c>
    </row>
    <row r="29" spans="2:8" ht="17">
      <c r="B29" s="13"/>
      <c r="D29" s="15" t="s">
        <v>57</v>
      </c>
      <c r="E29" s="305">
        <f>MIN(E16:E26)</f>
        <v>14.6</v>
      </c>
      <c r="F29" s="316">
        <f t="shared" ref="F29:H29" si="3">MIN(F16:F26)</f>
        <v>0.88477653631284925</v>
      </c>
      <c r="G29" s="305">
        <f t="shared" si="3"/>
        <v>16.55</v>
      </c>
      <c r="H29" s="305">
        <f t="shared" si="3"/>
        <v>0.98085642317380339</v>
      </c>
    </row>
    <row r="30" spans="2:8" ht="17">
      <c r="B30" s="13"/>
      <c r="D30" s="15" t="s">
        <v>18</v>
      </c>
      <c r="E30" s="59" t="s">
        <v>0</v>
      </c>
      <c r="F30" s="22">
        <f>MEDIAN(F16:F26)</f>
        <v>1.8184931506849316</v>
      </c>
      <c r="G30" s="59" t="s">
        <v>0</v>
      </c>
      <c r="H30" s="22">
        <f>MEDIAN(H16:H26)</f>
        <v>1.3275000000000001</v>
      </c>
    </row>
    <row r="31" spans="2:8" ht="17">
      <c r="B31" s="13"/>
      <c r="D31" s="15" t="s">
        <v>448</v>
      </c>
      <c r="E31" s="75" t="s">
        <v>0</v>
      </c>
      <c r="F31" s="22">
        <f>AVERAGE(F16:F26)</f>
        <v>1.929779382300606</v>
      </c>
      <c r="G31" s="75" t="s">
        <v>0</v>
      </c>
      <c r="H31" s="22">
        <f>AVERAGE(H16:H26)</f>
        <v>1.521376694753608</v>
      </c>
    </row>
    <row r="32" spans="2:8" ht="17.5" thickBot="1">
      <c r="B32" s="13"/>
      <c r="C32" s="13"/>
      <c r="D32" s="13"/>
      <c r="E32" s="13"/>
      <c r="F32" s="13"/>
      <c r="G32" s="13"/>
      <c r="H32" s="13"/>
    </row>
    <row r="33" spans="1:8" ht="26" thickBot="1">
      <c r="B33" s="77" t="s">
        <v>0</v>
      </c>
      <c r="C33" s="13"/>
      <c r="D33" s="25" t="s">
        <v>143</v>
      </c>
      <c r="E33" s="25"/>
      <c r="F33" s="369">
        <v>1.9300000000000001E-2</v>
      </c>
      <c r="H33" s="369">
        <v>1.52E-2</v>
      </c>
    </row>
    <row r="34" spans="1:8" ht="17">
      <c r="B34" s="77" t="s">
        <v>0</v>
      </c>
      <c r="C34" s="13"/>
      <c r="D34" s="13"/>
      <c r="E34" s="13"/>
      <c r="F34" s="13"/>
      <c r="G34" s="13"/>
      <c r="H34" s="13"/>
    </row>
    <row r="35" spans="1:8" ht="17">
      <c r="B35" s="77"/>
      <c r="C35" s="13"/>
      <c r="D35" s="13"/>
      <c r="E35" s="13"/>
      <c r="F35" s="13"/>
      <c r="G35" s="13"/>
      <c r="H35" s="13"/>
    </row>
    <row r="36" spans="1:8" ht="17.5">
      <c r="A36" s="113" t="s">
        <v>375</v>
      </c>
      <c r="B36" s="77"/>
      <c r="C36" s="13"/>
      <c r="D36" s="13"/>
      <c r="E36" s="13"/>
      <c r="F36" s="13"/>
      <c r="G36" s="13"/>
      <c r="H36" s="13"/>
    </row>
    <row r="37" spans="1:8" ht="17.5">
      <c r="A37" s="113" t="s">
        <v>376</v>
      </c>
      <c r="B37" s="77"/>
      <c r="C37" s="13"/>
      <c r="D37" s="13"/>
      <c r="E37" s="13"/>
      <c r="F37" s="13"/>
      <c r="G37" s="13"/>
      <c r="H37" s="13"/>
    </row>
    <row r="38" spans="1:8" ht="17">
      <c r="H38" s="13"/>
    </row>
    <row r="39" spans="1:8" ht="17.5">
      <c r="A39" s="113" t="s">
        <v>377</v>
      </c>
      <c r="H39" s="13"/>
    </row>
    <row r="40" spans="1:8" ht="17.5">
      <c r="A40" s="113" t="s">
        <v>378</v>
      </c>
    </row>
    <row r="41" spans="1:8" ht="17.5">
      <c r="A41" s="113" t="s">
        <v>379</v>
      </c>
    </row>
    <row r="47" spans="1:8" ht="17.5">
      <c r="A47" s="113"/>
      <c r="C47" s="282" t="s">
        <v>0</v>
      </c>
    </row>
    <row r="48" spans="1:8" ht="17.5">
      <c r="C48" s="282" t="s">
        <v>0</v>
      </c>
    </row>
    <row r="49" spans="3:3" ht="17.5">
      <c r="C49" s="282" t="s">
        <v>0</v>
      </c>
    </row>
  </sheetData>
  <pageMargins left="0.25" right="0.25" top="0.75" bottom="0.75" header="0.3" footer="0.3"/>
  <pageSetup scale="45" orientation="landscape" r:id="rId1"/>
  <rowBreaks count="1" manualBreakCount="1">
    <brk id="4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zoomScale="80" zoomScaleNormal="80" zoomScaleSheetLayoutView="80" workbookViewId="0">
      <selection activeCell="G30" sqref="G30"/>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5" t="s">
        <v>1</v>
      </c>
      <c r="C1" s="13"/>
      <c r="D1" s="13"/>
      <c r="E1" s="13"/>
      <c r="F1" s="13"/>
      <c r="G1" s="13"/>
      <c r="H1" s="13"/>
      <c r="I1" s="13"/>
      <c r="J1" s="13"/>
      <c r="K1" s="13"/>
    </row>
    <row r="2" spans="1:11" ht="17.5">
      <c r="A2" s="26" t="s">
        <v>9</v>
      </c>
      <c r="C2" s="13"/>
      <c r="D2" s="13"/>
      <c r="E2" s="13"/>
      <c r="F2" s="13"/>
      <c r="G2" s="13"/>
      <c r="H2" s="13"/>
      <c r="I2" s="13"/>
      <c r="J2" s="13"/>
      <c r="K2" s="13"/>
    </row>
    <row r="3" spans="1:11" ht="17.25" customHeight="1">
      <c r="A3" s="27" t="s">
        <v>487</v>
      </c>
      <c r="C3" s="13"/>
      <c r="D3" s="13"/>
      <c r="E3" s="13"/>
      <c r="F3" s="13"/>
      <c r="G3" s="13"/>
      <c r="H3" s="13"/>
      <c r="I3" s="13"/>
      <c r="J3" s="13"/>
      <c r="K3" s="13"/>
    </row>
    <row r="4" spans="1:11" ht="17.25" customHeight="1">
      <c r="B4" s="27"/>
      <c r="C4" s="13"/>
      <c r="D4" s="13"/>
      <c r="E4" s="13"/>
      <c r="F4" s="13"/>
      <c r="G4" s="13"/>
      <c r="H4" s="13"/>
      <c r="I4" s="13"/>
      <c r="J4" s="13"/>
      <c r="K4" s="13"/>
    </row>
    <row r="5" spans="1:11" ht="17.25" customHeight="1">
      <c r="B5" s="151"/>
      <c r="C5" s="13"/>
      <c r="D5" s="13"/>
      <c r="E5" s="13"/>
      <c r="F5" s="13"/>
      <c r="G5" s="13"/>
      <c r="H5" s="13"/>
      <c r="I5" s="13"/>
      <c r="J5" s="13"/>
      <c r="K5" s="13"/>
    </row>
    <row r="6" spans="1:11" ht="17.25" customHeight="1">
      <c r="B6" s="151"/>
      <c r="C6" s="13"/>
      <c r="D6" s="13"/>
      <c r="E6" s="13"/>
      <c r="F6" s="13"/>
      <c r="G6" s="13"/>
      <c r="H6" s="13"/>
      <c r="I6" s="13"/>
      <c r="J6" s="13"/>
      <c r="K6" s="13"/>
    </row>
    <row r="7" spans="1:11" ht="17.25" customHeight="1">
      <c r="B7" s="151"/>
      <c r="C7" s="13"/>
      <c r="D7" s="13"/>
      <c r="E7" s="13"/>
      <c r="F7" s="13"/>
      <c r="G7" s="13"/>
      <c r="H7" s="13"/>
      <c r="I7" s="13"/>
      <c r="J7" s="13"/>
      <c r="K7" s="13"/>
    </row>
    <row r="8" spans="1:11" ht="17">
      <c r="B8" s="27"/>
      <c r="C8" s="13"/>
      <c r="D8" s="13"/>
      <c r="E8" s="13"/>
      <c r="F8" s="13"/>
      <c r="G8" s="13"/>
      <c r="H8" s="13"/>
      <c r="I8" s="13"/>
      <c r="J8" s="13"/>
      <c r="K8" s="13"/>
    </row>
    <row r="9" spans="1:11" ht="21">
      <c r="B9" s="13"/>
      <c r="C9" s="13"/>
      <c r="D9" s="80" t="s">
        <v>0</v>
      </c>
      <c r="E9" s="13"/>
      <c r="F9" s="13"/>
      <c r="G9" s="13"/>
      <c r="H9" s="13"/>
      <c r="I9" s="13"/>
      <c r="J9" s="13"/>
      <c r="K9" s="13"/>
    </row>
    <row r="10" spans="1:11" ht="21">
      <c r="B10" s="13"/>
      <c r="C10" s="13"/>
      <c r="D10" s="80" t="s">
        <v>82</v>
      </c>
      <c r="E10" s="13"/>
      <c r="F10" s="13"/>
      <c r="G10" s="13"/>
      <c r="H10" s="13"/>
      <c r="I10" s="13"/>
      <c r="J10" s="13"/>
      <c r="K10" s="13"/>
    </row>
    <row r="11" spans="1:11" ht="17">
      <c r="B11" s="13"/>
      <c r="C11" s="13"/>
      <c r="D11" s="13"/>
      <c r="E11" s="13"/>
      <c r="F11" s="13"/>
      <c r="G11" s="13"/>
      <c r="H11" s="13"/>
      <c r="I11" s="13"/>
      <c r="J11" s="13"/>
      <c r="K11" s="13"/>
    </row>
    <row r="12" spans="1:11" ht="17">
      <c r="B12" s="13"/>
      <c r="C12" s="13"/>
      <c r="D12" s="13"/>
      <c r="E12" s="13"/>
      <c r="F12" s="13"/>
      <c r="G12" s="13"/>
      <c r="H12" s="13"/>
      <c r="I12" s="13"/>
      <c r="J12" s="13"/>
      <c r="K12" s="13"/>
    </row>
    <row r="13" spans="1:11" ht="17">
      <c r="B13" s="13"/>
      <c r="C13" s="13"/>
      <c r="D13" s="13"/>
      <c r="E13" s="28"/>
      <c r="F13" s="13"/>
      <c r="G13" s="13"/>
      <c r="H13" s="13"/>
      <c r="I13" s="13"/>
      <c r="J13" s="13"/>
      <c r="K13" s="13"/>
    </row>
    <row r="14" spans="1:11" ht="17">
      <c r="B14" s="13"/>
      <c r="C14" s="13"/>
      <c r="D14" s="13"/>
      <c r="E14" s="13"/>
      <c r="F14" s="13"/>
      <c r="G14" s="13"/>
      <c r="H14" s="13"/>
      <c r="I14" s="13"/>
      <c r="J14" s="13"/>
      <c r="K14" s="13"/>
    </row>
    <row r="15" spans="1:11" ht="17.5" thickBot="1">
      <c r="B15" s="13"/>
      <c r="C15" s="30"/>
      <c r="D15" s="30"/>
      <c r="E15" s="30"/>
      <c r="F15" s="13"/>
      <c r="G15" s="13"/>
      <c r="H15" s="13"/>
      <c r="I15" s="13"/>
      <c r="J15" s="13"/>
      <c r="K15" s="13"/>
    </row>
    <row r="16" spans="1:11" ht="25.5">
      <c r="B16" s="13"/>
      <c r="C16" s="13"/>
      <c r="D16" s="33" t="str">
        <f>+'S&amp;D'!A12</f>
        <v>Natural Gas Utility Distribution</v>
      </c>
      <c r="E16" s="13"/>
      <c r="F16" s="13"/>
      <c r="G16" s="13"/>
      <c r="H16" s="13"/>
      <c r="I16" s="13"/>
      <c r="J16" s="13"/>
      <c r="K16" s="13"/>
    </row>
    <row r="17" spans="2:11" ht="17.5" thickBot="1">
      <c r="B17" s="13"/>
      <c r="C17" s="30"/>
      <c r="D17" s="38" t="s">
        <v>0</v>
      </c>
      <c r="E17" s="30"/>
      <c r="F17" s="13"/>
      <c r="G17" s="13"/>
      <c r="H17" s="13"/>
      <c r="I17" s="13"/>
      <c r="J17" s="13"/>
      <c r="K17" s="13"/>
    </row>
    <row r="18" spans="2:11" ht="17.5" thickBot="1">
      <c r="B18" s="30"/>
      <c r="C18" s="30"/>
      <c r="D18" s="38" t="s">
        <v>0</v>
      </c>
      <c r="E18" s="30"/>
      <c r="F18" s="30"/>
      <c r="G18" s="30"/>
      <c r="H18" s="13"/>
      <c r="I18" s="13"/>
      <c r="J18" s="13"/>
      <c r="K18" s="13"/>
    </row>
    <row r="19" spans="2:11" ht="17">
      <c r="B19" s="36" t="s">
        <v>32</v>
      </c>
      <c r="C19" s="36" t="s">
        <v>33</v>
      </c>
      <c r="D19" s="36" t="s">
        <v>34</v>
      </c>
      <c r="E19" s="36" t="s">
        <v>86</v>
      </c>
      <c r="F19" s="36" t="s">
        <v>34</v>
      </c>
      <c r="G19" s="36" t="s">
        <v>35</v>
      </c>
      <c r="H19" s="13"/>
      <c r="I19" s="13"/>
      <c r="J19" s="13"/>
      <c r="K19" s="13"/>
    </row>
    <row r="20" spans="2:11" ht="17.5" thickBot="1">
      <c r="B20" s="38" t="s">
        <v>33</v>
      </c>
      <c r="C20" s="38" t="s">
        <v>36</v>
      </c>
      <c r="D20" s="38" t="s">
        <v>37</v>
      </c>
      <c r="E20" s="38" t="s">
        <v>23</v>
      </c>
      <c r="F20" s="38" t="s">
        <v>38</v>
      </c>
      <c r="G20" s="38" t="s">
        <v>39</v>
      </c>
      <c r="H20" s="13"/>
      <c r="I20" s="13"/>
      <c r="J20" s="13"/>
      <c r="K20" s="13"/>
    </row>
    <row r="21" spans="2:11" ht="17">
      <c r="B21" s="40" t="s">
        <v>0</v>
      </c>
      <c r="C21" s="40" t="s">
        <v>0</v>
      </c>
      <c r="D21" s="40" t="s">
        <v>0</v>
      </c>
      <c r="E21" s="40" t="s">
        <v>0</v>
      </c>
      <c r="F21" s="40" t="s">
        <v>0</v>
      </c>
      <c r="G21" s="40" t="s">
        <v>0</v>
      </c>
      <c r="H21" s="13"/>
      <c r="I21" s="13"/>
      <c r="J21" s="13"/>
      <c r="K21" s="13"/>
    </row>
    <row r="22" spans="2:11" ht="17">
      <c r="B22" s="36"/>
      <c r="C22" s="36"/>
      <c r="D22" s="36"/>
      <c r="E22" s="36"/>
      <c r="F22" s="36"/>
      <c r="G22" s="36"/>
      <c r="H22" s="13"/>
      <c r="I22" s="13"/>
      <c r="J22" s="13"/>
      <c r="K22" s="13"/>
    </row>
    <row r="23" spans="2:11" ht="17.5">
      <c r="B23" s="92" t="s">
        <v>40</v>
      </c>
      <c r="C23" s="143">
        <f>'S&amp;D'!I58</f>
        <v>0.5</v>
      </c>
      <c r="D23" s="143">
        <f>+'Indicated Yield Equity Rates'!D51</f>
        <v>8.8900000000000007E-2</v>
      </c>
      <c r="E23" s="108" t="s">
        <v>41</v>
      </c>
      <c r="F23" s="143">
        <f>+D23</f>
        <v>8.8900000000000007E-2</v>
      </c>
      <c r="G23" s="144">
        <f>+F23*C23</f>
        <v>4.4450000000000003E-2</v>
      </c>
      <c r="H23" s="13"/>
      <c r="I23" s="13"/>
      <c r="J23" s="13"/>
      <c r="K23" s="13"/>
    </row>
    <row r="24" spans="2:11" ht="17.5">
      <c r="B24" s="92" t="s">
        <v>0</v>
      </c>
      <c r="C24" s="108" t="s">
        <v>0</v>
      </c>
      <c r="D24" s="108" t="s">
        <v>0</v>
      </c>
      <c r="E24" s="108" t="s">
        <v>0</v>
      </c>
      <c r="F24" s="145" t="s">
        <v>0</v>
      </c>
      <c r="G24" s="127" t="s">
        <v>0</v>
      </c>
      <c r="H24" s="13"/>
      <c r="I24" s="13"/>
      <c r="J24" s="13"/>
      <c r="K24" s="13"/>
    </row>
    <row r="25" spans="2:11" ht="17.5">
      <c r="B25" s="92" t="s">
        <v>42</v>
      </c>
      <c r="C25" s="143">
        <f>'S&amp;D'!J58</f>
        <v>0.5</v>
      </c>
      <c r="D25" s="143">
        <f>+'Yield Debt'!J33</f>
        <v>5.6099999999999997E-2</v>
      </c>
      <c r="E25" s="143">
        <v>0.26</v>
      </c>
      <c r="F25" s="143">
        <f>+D25*(1-E25)</f>
        <v>4.1513999999999995E-2</v>
      </c>
      <c r="G25" s="144">
        <f>+C25*F25</f>
        <v>2.0756999999999998E-2</v>
      </c>
      <c r="H25" s="13"/>
      <c r="I25" s="13"/>
      <c r="J25" s="13"/>
      <c r="K25" s="13"/>
    </row>
    <row r="26" spans="2:11" ht="18" thickBot="1">
      <c r="B26" s="101" t="s">
        <v>0</v>
      </c>
      <c r="C26" s="101" t="s">
        <v>0</v>
      </c>
      <c r="D26" s="101" t="s">
        <v>0</v>
      </c>
      <c r="E26" s="101" t="s">
        <v>0</v>
      </c>
      <c r="F26" s="146" t="s">
        <v>0</v>
      </c>
      <c r="G26" s="147" t="s">
        <v>0</v>
      </c>
      <c r="H26" s="13"/>
      <c r="I26" s="13"/>
      <c r="J26" s="13"/>
      <c r="K26" s="13"/>
    </row>
    <row r="27" spans="2:11" ht="17.5">
      <c r="B27" s="92" t="s">
        <v>89</v>
      </c>
      <c r="C27" s="148">
        <f>+C23+C25</f>
        <v>1</v>
      </c>
      <c r="D27" s="92" t="s">
        <v>0</v>
      </c>
      <c r="E27" s="92" t="s">
        <v>0</v>
      </c>
      <c r="F27" s="149" t="s">
        <v>0</v>
      </c>
      <c r="G27" s="144">
        <f>+G23+G25</f>
        <v>6.5207000000000001E-2</v>
      </c>
      <c r="H27" s="13"/>
      <c r="I27" s="13"/>
      <c r="J27" s="13"/>
      <c r="K27" s="13"/>
    </row>
    <row r="28" spans="2:11" ht="18" thickBot="1">
      <c r="B28" s="65"/>
      <c r="C28" s="65"/>
      <c r="D28" s="65"/>
      <c r="E28" s="65"/>
      <c r="F28" s="65"/>
      <c r="G28" s="150"/>
      <c r="H28" s="13"/>
      <c r="I28" s="13"/>
      <c r="J28" s="13"/>
      <c r="K28" s="13"/>
    </row>
    <row r="29" spans="2:11" ht="18" thickBot="1">
      <c r="B29" s="13"/>
      <c r="C29" s="13"/>
      <c r="D29" s="13"/>
      <c r="E29" s="13"/>
      <c r="F29" s="212" t="s">
        <v>92</v>
      </c>
      <c r="G29" s="196">
        <v>6.5199999999999994E-2</v>
      </c>
      <c r="H29" s="13"/>
      <c r="I29" s="13"/>
      <c r="J29" s="13"/>
      <c r="K29" s="13"/>
    </row>
    <row r="30" spans="2:11" ht="17">
      <c r="B30" s="13"/>
      <c r="C30" s="13"/>
      <c r="D30" s="13"/>
      <c r="E30" s="13"/>
      <c r="F30" s="13"/>
      <c r="G30" s="13"/>
      <c r="H30" s="13"/>
      <c r="I30" s="13"/>
      <c r="J30" s="13"/>
      <c r="K30" s="13"/>
    </row>
    <row r="31" spans="2:11" ht="17">
      <c r="B31" s="13"/>
      <c r="C31" s="13"/>
      <c r="D31" s="13"/>
      <c r="E31" s="13"/>
      <c r="F31" s="13"/>
      <c r="G31" s="13"/>
      <c r="H31" s="13"/>
      <c r="I31" s="13"/>
      <c r="J31" s="13"/>
      <c r="K31" s="13"/>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N3" sqref="N3"/>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47" zoomScale="80" zoomScaleNormal="80" zoomScaleSheetLayoutView="80" workbookViewId="0">
      <selection activeCell="G63" sqref="G63"/>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5" t="s">
        <v>1</v>
      </c>
      <c r="C1" s="13"/>
      <c r="D1" s="13"/>
      <c r="E1" s="13"/>
      <c r="F1" s="13"/>
      <c r="G1" s="13"/>
      <c r="H1" s="13"/>
      <c r="I1" s="13"/>
      <c r="J1" s="13"/>
      <c r="K1" s="13"/>
    </row>
    <row r="2" spans="1:11" ht="17.5">
      <c r="A2" s="26" t="s">
        <v>9</v>
      </c>
      <c r="C2" s="13"/>
      <c r="D2" s="13"/>
      <c r="E2" s="13"/>
      <c r="F2" s="13"/>
      <c r="G2" s="13"/>
      <c r="H2" s="13"/>
      <c r="I2" s="13"/>
      <c r="J2" s="13"/>
      <c r="K2" s="13"/>
    </row>
    <row r="3" spans="1:11" ht="17">
      <c r="A3" s="27" t="s">
        <v>487</v>
      </c>
      <c r="C3" s="13"/>
      <c r="D3" s="13"/>
      <c r="E3" s="13"/>
      <c r="F3" s="13"/>
      <c r="G3" s="13"/>
      <c r="H3" s="13"/>
      <c r="I3" s="13"/>
      <c r="J3" s="13"/>
      <c r="K3" s="13"/>
    </row>
    <row r="4" spans="1:11" ht="17">
      <c r="B4" s="27"/>
      <c r="C4" s="13"/>
      <c r="D4" s="13"/>
      <c r="E4" s="13"/>
      <c r="F4" s="13"/>
      <c r="G4" s="13"/>
      <c r="H4" s="13"/>
      <c r="I4" s="13"/>
      <c r="J4" s="13"/>
      <c r="K4" s="13"/>
    </row>
    <row r="5" spans="1:11" ht="17">
      <c r="B5" s="27"/>
      <c r="C5" s="13"/>
      <c r="D5" s="13"/>
      <c r="E5" s="13"/>
      <c r="F5" s="13"/>
      <c r="G5" s="13"/>
      <c r="H5" s="13"/>
      <c r="I5" s="13"/>
      <c r="J5" s="13"/>
      <c r="K5" s="13"/>
    </row>
    <row r="6" spans="1:11" ht="17">
      <c r="B6" s="27"/>
      <c r="C6" s="13"/>
      <c r="D6" s="13"/>
      <c r="E6" s="13"/>
      <c r="F6" s="13"/>
      <c r="G6" s="13"/>
      <c r="H6" s="13"/>
      <c r="I6" s="13"/>
      <c r="J6" s="13"/>
      <c r="K6" s="13"/>
    </row>
    <row r="7" spans="1:11" ht="17">
      <c r="B7" s="27"/>
      <c r="C7" s="13"/>
      <c r="D7" s="13"/>
      <c r="E7" s="13"/>
      <c r="F7" s="13"/>
      <c r="G7" s="13"/>
      <c r="H7" s="13"/>
      <c r="I7" s="13"/>
      <c r="J7" s="13"/>
      <c r="K7" s="13"/>
    </row>
    <row r="8" spans="1:11" ht="17">
      <c r="B8" s="27"/>
      <c r="C8" s="13"/>
      <c r="D8" s="13"/>
      <c r="E8" s="13"/>
      <c r="F8" s="13"/>
      <c r="G8" s="13"/>
      <c r="H8" s="13"/>
      <c r="I8" s="13"/>
      <c r="J8" s="13"/>
      <c r="K8" s="13"/>
    </row>
    <row r="9" spans="1:11" ht="17">
      <c r="B9" s="27"/>
      <c r="C9" s="13"/>
      <c r="D9" s="13"/>
      <c r="E9" s="13"/>
      <c r="F9" s="13"/>
      <c r="G9" s="13"/>
      <c r="H9" s="13"/>
      <c r="I9" s="13"/>
      <c r="J9" s="13"/>
      <c r="K9" s="13"/>
    </row>
    <row r="10" spans="1:11" ht="21">
      <c r="B10" s="13"/>
      <c r="C10" s="13"/>
      <c r="D10" s="80" t="s">
        <v>0</v>
      </c>
      <c r="E10" s="13"/>
      <c r="F10" s="13"/>
      <c r="G10" s="13"/>
      <c r="H10" s="13"/>
      <c r="I10" s="13"/>
      <c r="J10" s="13"/>
      <c r="K10" s="13"/>
    </row>
    <row r="11" spans="1:11" ht="21">
      <c r="B11" s="13"/>
      <c r="C11" s="13"/>
      <c r="D11" s="80" t="s">
        <v>81</v>
      </c>
      <c r="E11" s="13"/>
      <c r="F11" s="13"/>
      <c r="G11" s="13"/>
      <c r="H11" s="13"/>
      <c r="I11" s="13"/>
      <c r="J11" s="13"/>
      <c r="K11" s="13"/>
    </row>
    <row r="12" spans="1:11" ht="17">
      <c r="B12" s="13"/>
      <c r="C12" s="13"/>
      <c r="D12" s="13"/>
      <c r="E12" s="13"/>
      <c r="F12" s="13"/>
      <c r="G12" s="13"/>
      <c r="H12" s="13"/>
      <c r="I12" s="13"/>
      <c r="J12" s="13"/>
      <c r="K12" s="13"/>
    </row>
    <row r="13" spans="1:11" ht="17">
      <c r="B13" s="13"/>
      <c r="C13" s="13"/>
      <c r="D13" s="13"/>
      <c r="E13" s="13"/>
      <c r="F13" s="13"/>
      <c r="G13" s="13"/>
      <c r="H13" s="13"/>
      <c r="I13" s="13"/>
      <c r="J13" s="13"/>
      <c r="K13" s="13"/>
    </row>
    <row r="14" spans="1:11" ht="17.5" thickBot="1">
      <c r="B14" s="13"/>
      <c r="C14" s="30"/>
      <c r="D14" s="30"/>
      <c r="E14" s="30"/>
      <c r="F14" s="13"/>
      <c r="G14" s="13"/>
      <c r="H14" s="13"/>
      <c r="I14" s="13"/>
      <c r="J14" s="13"/>
      <c r="K14" s="13"/>
    </row>
    <row r="15" spans="1:11" ht="25.5">
      <c r="B15" s="13"/>
      <c r="C15" s="13"/>
      <c r="D15" s="33" t="str">
        <f>+'S&amp;D'!A12</f>
        <v>Natural Gas Utility Distribution</v>
      </c>
      <c r="E15" s="13"/>
      <c r="F15" s="13"/>
      <c r="G15" s="13"/>
      <c r="H15" s="13"/>
      <c r="I15" s="13"/>
      <c r="J15" s="13"/>
      <c r="K15" s="13"/>
    </row>
    <row r="16" spans="1:11" ht="21.5" thickBot="1">
      <c r="B16" s="13"/>
      <c r="C16" s="30"/>
      <c r="D16" s="142" t="s">
        <v>88</v>
      </c>
      <c r="E16" s="30"/>
      <c r="F16" s="13"/>
      <c r="G16" s="13"/>
      <c r="H16" s="13"/>
      <c r="I16" s="13"/>
      <c r="J16" s="13"/>
      <c r="K16" s="13"/>
    </row>
    <row r="17" spans="2:11" ht="17">
      <c r="H17" s="13"/>
      <c r="I17" s="13"/>
      <c r="J17" s="13"/>
      <c r="K17" s="13"/>
    </row>
    <row r="18" spans="2:11" ht="17.5" thickBot="1">
      <c r="B18" s="30"/>
      <c r="C18" s="30"/>
      <c r="D18" s="38" t="s">
        <v>0</v>
      </c>
      <c r="E18" s="30"/>
      <c r="F18" s="30"/>
      <c r="G18" s="30"/>
      <c r="H18" s="13"/>
      <c r="I18" s="13"/>
      <c r="J18" s="13"/>
      <c r="K18" s="13"/>
    </row>
    <row r="19" spans="2:11" ht="17">
      <c r="B19" s="36" t="s">
        <v>32</v>
      </c>
      <c r="C19" s="36" t="s">
        <v>33</v>
      </c>
      <c r="D19" s="36" t="s">
        <v>85</v>
      </c>
      <c r="E19" s="36" t="s">
        <v>86</v>
      </c>
      <c r="F19" s="36" t="s">
        <v>84</v>
      </c>
      <c r="G19" s="36" t="s">
        <v>35</v>
      </c>
      <c r="H19" s="13"/>
      <c r="I19" s="13"/>
      <c r="J19" s="13"/>
      <c r="K19" s="13"/>
    </row>
    <row r="20" spans="2:11" ht="17.5" thickBot="1">
      <c r="B20" s="38" t="s">
        <v>33</v>
      </c>
      <c r="C20" s="38" t="s">
        <v>36</v>
      </c>
      <c r="D20" s="38" t="s">
        <v>37</v>
      </c>
      <c r="E20" s="38" t="s">
        <v>23</v>
      </c>
      <c r="F20" s="38" t="s">
        <v>38</v>
      </c>
      <c r="G20" s="38" t="s">
        <v>87</v>
      </c>
      <c r="H20" s="13"/>
      <c r="I20" s="13"/>
      <c r="J20" s="13"/>
      <c r="K20" s="13"/>
    </row>
    <row r="21" spans="2:11" ht="17">
      <c r="B21" s="40" t="s">
        <v>0</v>
      </c>
      <c r="C21" s="40" t="s">
        <v>0</v>
      </c>
      <c r="D21" s="40" t="s">
        <v>0</v>
      </c>
      <c r="E21" s="40" t="s">
        <v>0</v>
      </c>
      <c r="F21" s="40" t="s">
        <v>0</v>
      </c>
      <c r="G21" s="40" t="s">
        <v>0</v>
      </c>
      <c r="H21" s="13"/>
      <c r="I21" s="13"/>
      <c r="J21" s="13"/>
      <c r="K21" s="13"/>
    </row>
    <row r="22" spans="2:11" ht="17">
      <c r="B22" s="36"/>
      <c r="C22" s="36"/>
      <c r="D22" s="36"/>
      <c r="E22" s="36"/>
      <c r="F22" s="36"/>
      <c r="G22" s="36"/>
      <c r="H22" s="13"/>
      <c r="I22" s="13"/>
      <c r="J22" s="13"/>
      <c r="K22" s="13"/>
    </row>
    <row r="23" spans="2:11" ht="17.5">
      <c r="B23" s="92" t="s">
        <v>40</v>
      </c>
      <c r="C23" s="143">
        <f>'S&amp;D'!I58</f>
        <v>0.5</v>
      </c>
      <c r="D23" s="143">
        <f>+'Direct NOPAT'!J37</f>
        <v>6.3799999999999996E-2</v>
      </c>
      <c r="E23" s="108" t="s">
        <v>41</v>
      </c>
      <c r="F23" s="143">
        <f>+D23</f>
        <v>6.3799999999999996E-2</v>
      </c>
      <c r="G23" s="144">
        <f>+F23*C23</f>
        <v>3.1899999999999998E-2</v>
      </c>
      <c r="H23" s="13"/>
      <c r="I23" s="13"/>
      <c r="J23" s="13"/>
      <c r="K23" s="13"/>
    </row>
    <row r="24" spans="2:11" ht="17.5">
      <c r="B24" s="92" t="s">
        <v>0</v>
      </c>
      <c r="C24" s="108" t="s">
        <v>0</v>
      </c>
      <c r="D24" s="108" t="s">
        <v>0</v>
      </c>
      <c r="E24" s="108" t="s">
        <v>0</v>
      </c>
      <c r="F24" s="145" t="s">
        <v>0</v>
      </c>
      <c r="G24" s="127" t="s">
        <v>0</v>
      </c>
      <c r="H24" s="13"/>
      <c r="I24" s="13"/>
      <c r="J24" s="13"/>
      <c r="K24" s="13"/>
    </row>
    <row r="25" spans="2:11" ht="17.5">
      <c r="B25" s="92" t="s">
        <v>42</v>
      </c>
      <c r="C25" s="143">
        <f>'S&amp;D'!J58</f>
        <v>0.5</v>
      </c>
      <c r="D25" s="143">
        <f>+'Direct Debt'!I36</f>
        <v>4.7E-2</v>
      </c>
      <c r="E25" s="143">
        <v>0.26</v>
      </c>
      <c r="F25" s="143">
        <f>+D25*(1-E25)</f>
        <v>3.4779999999999998E-2</v>
      </c>
      <c r="G25" s="144">
        <f>+C25*F25</f>
        <v>1.7389999999999999E-2</v>
      </c>
      <c r="H25" s="13"/>
      <c r="I25" s="13"/>
      <c r="J25" s="13"/>
      <c r="K25" s="13"/>
    </row>
    <row r="26" spans="2:11" ht="18" thickBot="1">
      <c r="B26" s="101" t="s">
        <v>0</v>
      </c>
      <c r="C26" s="101" t="s">
        <v>0</v>
      </c>
      <c r="D26" s="101" t="s">
        <v>0</v>
      </c>
      <c r="E26" s="101" t="s">
        <v>0</v>
      </c>
      <c r="F26" s="146" t="s">
        <v>0</v>
      </c>
      <c r="G26" s="147" t="s">
        <v>0</v>
      </c>
      <c r="H26" s="13"/>
      <c r="I26" s="13"/>
      <c r="J26" s="13"/>
      <c r="K26" s="13"/>
    </row>
    <row r="27" spans="2:11" ht="17.5">
      <c r="B27" s="92" t="s">
        <v>43</v>
      </c>
      <c r="C27" s="148">
        <f>+C23+C25</f>
        <v>1</v>
      </c>
      <c r="D27" s="92" t="s">
        <v>0</v>
      </c>
      <c r="E27" s="92" t="s">
        <v>0</v>
      </c>
      <c r="F27" s="149" t="s">
        <v>0</v>
      </c>
      <c r="G27" s="144">
        <f>+G23+G25</f>
        <v>4.929E-2</v>
      </c>
      <c r="H27" s="13"/>
      <c r="I27" s="13"/>
      <c r="J27" s="13"/>
      <c r="K27" s="13"/>
    </row>
    <row r="28" spans="2:11" ht="18" thickBot="1">
      <c r="B28" s="65"/>
      <c r="C28" s="65"/>
      <c r="D28" s="65"/>
      <c r="E28" s="65"/>
      <c r="F28" s="65"/>
      <c r="G28" s="150"/>
      <c r="H28" s="13"/>
      <c r="I28" s="13"/>
      <c r="J28" s="13"/>
      <c r="K28" s="13"/>
    </row>
    <row r="29" spans="2:11" ht="18" thickBot="1">
      <c r="B29" s="13"/>
      <c r="C29" s="13"/>
      <c r="D29" s="13"/>
      <c r="E29" s="13"/>
      <c r="F29" s="212" t="s">
        <v>92</v>
      </c>
      <c r="G29" s="196">
        <v>4.9299999999999997E-2</v>
      </c>
      <c r="H29" s="13"/>
      <c r="I29" s="13"/>
      <c r="J29" s="13"/>
      <c r="K29" s="13"/>
    </row>
    <row r="30" spans="2:11" ht="18" thickBot="1">
      <c r="B30" s="13"/>
      <c r="C30" s="13"/>
      <c r="D30" s="13"/>
      <c r="E30" s="13"/>
      <c r="F30" s="149"/>
      <c r="G30" s="144"/>
      <c r="H30" s="13"/>
      <c r="I30" s="13"/>
      <c r="J30" s="13"/>
      <c r="K30" s="13"/>
    </row>
    <row r="31" spans="2:11" ht="18" thickBot="1">
      <c r="B31" s="13"/>
      <c r="C31" s="13"/>
      <c r="D31" s="13"/>
      <c r="E31" s="13"/>
      <c r="F31" s="212" t="s">
        <v>255</v>
      </c>
      <c r="G31" s="245">
        <f>1/G29</f>
        <v>20.28397565922921</v>
      </c>
      <c r="H31" s="13"/>
      <c r="I31" s="13"/>
      <c r="J31" s="13"/>
      <c r="K31" s="13"/>
    </row>
    <row r="32" spans="2:11" ht="17.5">
      <c r="B32" s="13"/>
      <c r="C32" s="13"/>
      <c r="D32" s="13"/>
      <c r="E32" s="13"/>
      <c r="F32" s="149"/>
      <c r="G32" s="144"/>
      <c r="H32" s="13"/>
      <c r="I32" s="13"/>
      <c r="J32" s="13"/>
      <c r="K32" s="13"/>
    </row>
    <row r="33" spans="1:11" ht="17.5">
      <c r="B33" s="13"/>
      <c r="C33" s="13"/>
      <c r="D33" s="13"/>
      <c r="E33" s="13"/>
      <c r="F33" s="149"/>
      <c r="G33" s="144"/>
      <c r="H33" s="13"/>
      <c r="I33" s="13"/>
      <c r="J33" s="13"/>
      <c r="K33" s="13"/>
    </row>
    <row r="34" spans="1:11" ht="25.5">
      <c r="A34" s="25" t="s">
        <v>1</v>
      </c>
      <c r="C34" s="13"/>
      <c r="D34" s="13"/>
      <c r="E34" s="13"/>
      <c r="F34" s="149"/>
      <c r="G34" s="144"/>
      <c r="H34" s="13"/>
      <c r="I34" s="13"/>
      <c r="J34" s="13"/>
      <c r="K34" s="13"/>
    </row>
    <row r="35" spans="1:11" ht="17.5">
      <c r="A35" s="26" t="s">
        <v>9</v>
      </c>
      <c r="C35" s="13"/>
      <c r="D35" s="13"/>
      <c r="E35" s="13"/>
      <c r="F35" s="149"/>
      <c r="G35" s="144"/>
      <c r="H35" s="13"/>
      <c r="I35" s="13"/>
      <c r="J35" s="13"/>
      <c r="K35" s="13"/>
    </row>
    <row r="36" spans="1:11" ht="17.5">
      <c r="A36" s="27" t="s">
        <v>487</v>
      </c>
      <c r="C36" s="13"/>
      <c r="D36" s="13"/>
      <c r="E36" s="13"/>
      <c r="F36" s="149"/>
      <c r="G36" s="144"/>
      <c r="H36" s="13"/>
      <c r="I36" s="13"/>
      <c r="J36" s="13"/>
      <c r="K36" s="13"/>
    </row>
    <row r="37" spans="1:11" ht="17.5">
      <c r="A37" s="27"/>
      <c r="C37" s="13"/>
      <c r="D37" s="13"/>
      <c r="E37" s="13"/>
      <c r="F37" s="149"/>
      <c r="G37" s="144"/>
      <c r="H37" s="13"/>
      <c r="I37" s="13"/>
      <c r="J37" s="13"/>
      <c r="K37" s="13"/>
    </row>
    <row r="38" spans="1:11" ht="17.5">
      <c r="A38" s="27"/>
      <c r="C38" s="13"/>
      <c r="D38" s="13"/>
      <c r="E38" s="13"/>
      <c r="F38" s="149"/>
      <c r="G38" s="144"/>
      <c r="H38" s="13"/>
      <c r="I38" s="13"/>
      <c r="J38" s="13"/>
      <c r="K38" s="13"/>
    </row>
    <row r="39" spans="1:11" ht="17.5">
      <c r="A39" s="27"/>
      <c r="C39" s="13"/>
      <c r="D39" s="13"/>
      <c r="E39" s="13"/>
      <c r="F39" s="149"/>
      <c r="G39" s="144"/>
      <c r="H39" s="13"/>
      <c r="I39" s="13"/>
      <c r="J39" s="13"/>
      <c r="K39" s="13"/>
    </row>
    <row r="40" spans="1:11" ht="17.5">
      <c r="A40" s="27"/>
      <c r="C40" s="13"/>
      <c r="D40" s="13"/>
      <c r="E40" s="13"/>
      <c r="F40" s="149"/>
      <c r="G40" s="144"/>
      <c r="H40" s="13"/>
      <c r="I40" s="13"/>
      <c r="J40" s="13"/>
      <c r="K40" s="13"/>
    </row>
    <row r="41" spans="1:11" ht="17.5">
      <c r="A41" s="27"/>
      <c r="C41" s="13"/>
      <c r="D41" s="13"/>
      <c r="E41" s="13"/>
      <c r="F41" s="149"/>
      <c r="G41" s="144"/>
      <c r="H41" s="13"/>
      <c r="I41" s="13"/>
      <c r="J41" s="13"/>
      <c r="K41" s="13"/>
    </row>
    <row r="42" spans="1:11" ht="17.5">
      <c r="A42" s="27"/>
      <c r="C42" s="13"/>
      <c r="D42" s="13"/>
      <c r="E42" s="13"/>
      <c r="F42" s="149"/>
      <c r="G42" s="144"/>
      <c r="H42" s="13"/>
      <c r="I42" s="13"/>
      <c r="J42" s="13"/>
      <c r="K42" s="13"/>
    </row>
    <row r="43" spans="1:11" ht="17.5">
      <c r="A43" s="27"/>
      <c r="C43" s="13"/>
      <c r="D43" s="13"/>
      <c r="E43" s="13"/>
      <c r="F43" s="149"/>
      <c r="G43" s="144"/>
      <c r="H43" s="13"/>
      <c r="I43" s="13"/>
      <c r="J43" s="13"/>
      <c r="K43" s="13"/>
    </row>
    <row r="44" spans="1:11" ht="21">
      <c r="A44" s="27"/>
      <c r="C44" s="13"/>
      <c r="D44" s="80" t="s">
        <v>81</v>
      </c>
      <c r="E44" s="13"/>
      <c r="F44" s="149"/>
      <c r="G44" s="144"/>
      <c r="H44" s="13"/>
      <c r="I44" s="13"/>
      <c r="J44" s="13"/>
      <c r="K44" s="13"/>
    </row>
    <row r="45" spans="1:11" ht="21">
      <c r="A45" s="27"/>
      <c r="C45" s="13"/>
      <c r="D45" s="80"/>
      <c r="E45" s="13"/>
      <c r="F45" s="149"/>
      <c r="G45" s="144"/>
      <c r="H45" s="13"/>
      <c r="I45" s="13"/>
      <c r="J45" s="13"/>
      <c r="K45" s="13"/>
    </row>
    <row r="46" spans="1:11" ht="21">
      <c r="A46" s="27"/>
      <c r="C46" s="13"/>
      <c r="D46" s="80"/>
      <c r="E46" s="13"/>
      <c r="F46" s="149"/>
      <c r="G46" s="144"/>
      <c r="H46" s="13"/>
      <c r="I46" s="13"/>
      <c r="J46" s="13"/>
      <c r="K46" s="13"/>
    </row>
    <row r="47" spans="1:11" ht="17.5" thickBot="1">
      <c r="B47" s="13"/>
      <c r="C47" s="30"/>
      <c r="D47" s="30"/>
      <c r="E47" s="30"/>
      <c r="F47" s="13"/>
      <c r="G47" s="13"/>
      <c r="H47" s="13"/>
      <c r="I47" s="13"/>
      <c r="J47" s="13"/>
      <c r="K47" s="13"/>
    </row>
    <row r="48" spans="1:11" ht="25.5">
      <c r="B48" s="13"/>
      <c r="C48" s="13"/>
      <c r="D48" s="33" t="str">
        <f>+D15</f>
        <v>Natural Gas Utility Distribution</v>
      </c>
      <c r="E48" s="13"/>
      <c r="F48" s="13"/>
      <c r="G48" s="13"/>
      <c r="H48" s="13"/>
      <c r="I48" s="13"/>
      <c r="J48" s="13"/>
      <c r="K48" s="13"/>
    </row>
    <row r="49" spans="2:11" ht="21.5" thickBot="1">
      <c r="B49" s="13"/>
      <c r="C49" s="30"/>
      <c r="D49" s="142" t="s">
        <v>83</v>
      </c>
      <c r="E49" s="30"/>
      <c r="F49" s="13"/>
      <c r="G49" s="13"/>
      <c r="H49" s="13"/>
      <c r="I49" s="13"/>
      <c r="J49" s="13"/>
      <c r="K49" s="13"/>
    </row>
    <row r="50" spans="2:11" ht="17">
      <c r="B50" s="13"/>
      <c r="C50" s="13"/>
      <c r="D50" s="13"/>
      <c r="E50" s="13"/>
      <c r="F50" s="13"/>
      <c r="G50" s="13"/>
      <c r="H50" s="13"/>
      <c r="I50" s="13"/>
      <c r="J50" s="13"/>
      <c r="K50" s="13"/>
    </row>
    <row r="51" spans="2:11" ht="17.5" thickBot="1">
      <c r="B51" s="30"/>
      <c r="C51" s="30"/>
      <c r="D51" s="38" t="s">
        <v>0</v>
      </c>
      <c r="E51" s="30"/>
      <c r="F51" s="30"/>
      <c r="G51" s="30"/>
      <c r="H51" s="13"/>
      <c r="I51" s="13"/>
      <c r="J51" s="13"/>
      <c r="K51" s="13"/>
    </row>
    <row r="52" spans="2:11" ht="17">
      <c r="B52" s="36" t="s">
        <v>32</v>
      </c>
      <c r="C52" s="36" t="s">
        <v>33</v>
      </c>
      <c r="D52" s="36" t="s">
        <v>85</v>
      </c>
      <c r="E52" s="36" t="s">
        <v>86</v>
      </c>
      <c r="F52" s="36" t="s">
        <v>84</v>
      </c>
      <c r="G52" s="36" t="s">
        <v>35</v>
      </c>
      <c r="H52" s="13"/>
      <c r="I52" s="13"/>
      <c r="J52" s="13"/>
      <c r="K52" s="13"/>
    </row>
    <row r="53" spans="2:11" ht="17.5" thickBot="1">
      <c r="B53" s="38" t="s">
        <v>33</v>
      </c>
      <c r="C53" s="38" t="s">
        <v>36</v>
      </c>
      <c r="D53" s="38" t="s">
        <v>37</v>
      </c>
      <c r="E53" s="38" t="s">
        <v>23</v>
      </c>
      <c r="F53" s="38" t="s">
        <v>38</v>
      </c>
      <c r="G53" s="38" t="s">
        <v>87</v>
      </c>
      <c r="H53" s="13"/>
      <c r="I53" s="13"/>
      <c r="J53" s="13"/>
      <c r="K53" s="13"/>
    </row>
    <row r="54" spans="2:11" ht="17">
      <c r="B54" s="40" t="s">
        <v>0</v>
      </c>
      <c r="C54" s="40" t="s">
        <v>0</v>
      </c>
      <c r="D54" s="40" t="s">
        <v>0</v>
      </c>
      <c r="E54" s="40" t="s">
        <v>0</v>
      </c>
      <c r="F54" s="40" t="s">
        <v>0</v>
      </c>
      <c r="G54" s="40" t="s">
        <v>0</v>
      </c>
      <c r="H54" s="13"/>
      <c r="I54" s="13"/>
      <c r="J54" s="13"/>
      <c r="K54" s="13"/>
    </row>
    <row r="55" spans="2:11" ht="17">
      <c r="B55" s="36"/>
      <c r="C55" s="36"/>
      <c r="D55" s="36"/>
      <c r="E55" s="36"/>
      <c r="F55" s="36"/>
      <c r="G55" s="36"/>
      <c r="H55" s="13"/>
      <c r="I55" s="13"/>
      <c r="J55" s="13"/>
      <c r="K55" s="13"/>
    </row>
    <row r="56" spans="2:11" ht="17.5">
      <c r="B56" s="92" t="s">
        <v>40</v>
      </c>
      <c r="C56" s="143">
        <f>'S&amp;D'!I58</f>
        <v>0.5</v>
      </c>
      <c r="D56" s="143">
        <f>'Direct GCF'!H36</f>
        <v>0.13519999999999999</v>
      </c>
      <c r="E56" s="108" t="s">
        <v>41</v>
      </c>
      <c r="F56" s="143">
        <f>+D56</f>
        <v>0.13519999999999999</v>
      </c>
      <c r="G56" s="144">
        <f>+F56*C56</f>
        <v>6.7599999999999993E-2</v>
      </c>
      <c r="H56" s="13"/>
      <c r="I56" s="13"/>
      <c r="J56" s="13"/>
      <c r="K56" s="13"/>
    </row>
    <row r="57" spans="2:11" ht="17.5">
      <c r="B57" s="92" t="s">
        <v>0</v>
      </c>
      <c r="C57" s="108" t="s">
        <v>0</v>
      </c>
      <c r="D57" s="108" t="s">
        <v>0</v>
      </c>
      <c r="E57" s="108" t="s">
        <v>0</v>
      </c>
      <c r="F57" s="145" t="s">
        <v>0</v>
      </c>
      <c r="G57" s="127" t="s">
        <v>0</v>
      </c>
      <c r="H57" s="13"/>
      <c r="I57" s="13"/>
      <c r="J57" s="13"/>
      <c r="K57" s="13"/>
    </row>
    <row r="58" spans="2:11" ht="17.5">
      <c r="B58" s="92" t="s">
        <v>42</v>
      </c>
      <c r="C58" s="143">
        <f>'S&amp;D'!J58</f>
        <v>0.5</v>
      </c>
      <c r="D58" s="143">
        <f>+'Direct Debt'!I36</f>
        <v>4.7E-2</v>
      </c>
      <c r="E58" s="143">
        <v>0.26</v>
      </c>
      <c r="F58" s="143">
        <f>+D58*(1-E58)</f>
        <v>3.4779999999999998E-2</v>
      </c>
      <c r="G58" s="144">
        <f>+C58*F58</f>
        <v>1.7389999999999999E-2</v>
      </c>
      <c r="H58" s="13"/>
      <c r="I58" s="13"/>
      <c r="J58" s="13"/>
      <c r="K58" s="13"/>
    </row>
    <row r="59" spans="2:11" ht="18" thickBot="1">
      <c r="B59" s="101" t="s">
        <v>0</v>
      </c>
      <c r="C59" s="101" t="s">
        <v>0</v>
      </c>
      <c r="D59" s="101" t="s">
        <v>0</v>
      </c>
      <c r="E59" s="101" t="s">
        <v>0</v>
      </c>
      <c r="F59" s="146" t="s">
        <v>0</v>
      </c>
      <c r="G59" s="147" t="s">
        <v>0</v>
      </c>
      <c r="H59" s="13"/>
      <c r="I59" s="13"/>
      <c r="J59" s="13"/>
      <c r="K59" s="13"/>
    </row>
    <row r="60" spans="2:11" ht="17.5">
      <c r="B60" s="92" t="s">
        <v>43</v>
      </c>
      <c r="C60" s="148">
        <f>+C56+C58</f>
        <v>1</v>
      </c>
      <c r="D60" s="92" t="s">
        <v>0</v>
      </c>
      <c r="E60" s="92" t="s">
        <v>0</v>
      </c>
      <c r="F60" s="149" t="s">
        <v>0</v>
      </c>
      <c r="G60" s="144">
        <f>+G56+G58</f>
        <v>8.4989999999999996E-2</v>
      </c>
      <c r="H60" s="13"/>
      <c r="I60" s="13"/>
      <c r="J60" s="13"/>
      <c r="K60" s="13"/>
    </row>
    <row r="61" spans="2:11" ht="18" thickBot="1">
      <c r="B61" s="65"/>
      <c r="C61" s="65"/>
      <c r="D61" s="65"/>
      <c r="E61" s="65"/>
      <c r="F61" s="65"/>
      <c r="G61" s="150"/>
      <c r="H61" s="13"/>
      <c r="I61" s="13"/>
      <c r="J61" s="13"/>
      <c r="K61" s="13"/>
    </row>
    <row r="62" spans="2:11" ht="18" thickBot="1">
      <c r="B62" s="13"/>
      <c r="C62" s="13"/>
      <c r="D62" s="13"/>
      <c r="E62" s="13"/>
      <c r="F62" s="212" t="s">
        <v>92</v>
      </c>
      <c r="G62" s="196">
        <v>8.5000000000000006E-2</v>
      </c>
      <c r="H62" s="13"/>
      <c r="I62" s="13"/>
      <c r="J62" s="13"/>
      <c r="K62" s="13"/>
    </row>
    <row r="63" spans="2:11" ht="15" thickBot="1"/>
    <row r="64" spans="2:11" ht="18" thickBot="1">
      <c r="F64" s="212" t="s">
        <v>255</v>
      </c>
      <c r="G64" s="245">
        <f>1/G62</f>
        <v>11.76470588235294</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85"/>
  <sheetViews>
    <sheetView view="pageBreakPreview" zoomScale="70" zoomScaleNormal="80" zoomScaleSheetLayoutView="70" zoomScalePageLayoutView="70" workbookViewId="0">
      <pane xSplit="1" topLeftCell="D1" activePane="topRight" state="frozen"/>
      <selection activeCell="F4" sqref="F4"/>
      <selection pane="topRight" activeCell="I54" sqref="I54"/>
    </sheetView>
  </sheetViews>
  <sheetFormatPr defaultRowHeight="14.5"/>
  <cols>
    <col min="1" max="1" width="63" customWidth="1"/>
    <col min="2" max="2" width="11.54296875" bestFit="1" customWidth="1"/>
    <col min="3" max="3" width="25.81640625" customWidth="1"/>
    <col min="4" max="4" width="25.54296875" bestFit="1" customWidth="1"/>
    <col min="5" max="5" width="28" customWidth="1"/>
    <col min="6" max="7" width="29.1796875" customWidth="1"/>
    <col min="8" max="8" width="31.81640625" customWidth="1"/>
    <col min="9" max="9" width="31.54296875" customWidth="1"/>
    <col min="10" max="10" width="30.81640625" customWidth="1"/>
    <col min="11" max="11" width="12.81640625" customWidth="1"/>
    <col min="12" max="12" width="25.81640625" bestFit="1" customWidth="1"/>
    <col min="13" max="13" width="30.1796875" bestFit="1" customWidth="1"/>
    <col min="14" max="14" width="9.1796875" customWidth="1"/>
  </cols>
  <sheetData>
    <row r="1" spans="1:12" ht="25.5">
      <c r="A1" s="25" t="s">
        <v>1</v>
      </c>
      <c r="B1" s="13"/>
      <c r="C1" s="13"/>
      <c r="D1" s="13"/>
      <c r="E1" s="13"/>
      <c r="F1" s="13"/>
      <c r="G1" s="13"/>
      <c r="H1" s="13"/>
      <c r="I1" s="13"/>
      <c r="J1" s="13"/>
      <c r="K1" s="13"/>
    </row>
    <row r="2" spans="1:12" ht="17.5">
      <c r="A2" s="26" t="s">
        <v>9</v>
      </c>
      <c r="B2" s="13"/>
      <c r="C2" s="13"/>
      <c r="D2" s="13"/>
      <c r="E2" s="13"/>
      <c r="F2" s="13"/>
      <c r="G2" s="13"/>
      <c r="H2" s="13"/>
      <c r="I2" s="13"/>
      <c r="J2" s="13"/>
      <c r="K2" s="13"/>
    </row>
    <row r="3" spans="1:12" ht="17">
      <c r="A3" s="27" t="s">
        <v>487</v>
      </c>
      <c r="B3" s="13"/>
      <c r="C3" s="13"/>
      <c r="D3" s="13"/>
      <c r="E3" s="13"/>
      <c r="F3" s="13"/>
      <c r="G3" s="13"/>
      <c r="H3" s="13"/>
      <c r="I3" s="13"/>
      <c r="J3" s="13"/>
      <c r="K3" s="13"/>
    </row>
    <row r="4" spans="1:12" ht="17">
      <c r="A4" s="27"/>
      <c r="B4" s="13"/>
      <c r="C4" s="13"/>
      <c r="D4" s="13"/>
      <c r="E4" s="13"/>
      <c r="F4" s="209" t="s">
        <v>0</v>
      </c>
      <c r="G4" s="13"/>
      <c r="H4" s="13"/>
      <c r="I4" s="13"/>
      <c r="J4" s="13"/>
      <c r="K4" s="13"/>
    </row>
    <row r="5" spans="1:12" ht="17">
      <c r="B5" s="13"/>
      <c r="C5" s="13"/>
      <c r="D5" s="13"/>
      <c r="E5" s="28"/>
      <c r="F5" s="209" t="s">
        <v>0</v>
      </c>
      <c r="G5" s="13"/>
      <c r="H5" s="13"/>
      <c r="I5" s="13"/>
      <c r="J5" s="13"/>
      <c r="K5" s="13" t="s">
        <v>0</v>
      </c>
    </row>
    <row r="6" spans="1:12" ht="17">
      <c r="A6" s="13"/>
      <c r="B6" s="13"/>
      <c r="C6" s="13"/>
      <c r="D6" s="13"/>
      <c r="E6" s="13"/>
      <c r="F6" s="13"/>
      <c r="G6" s="13"/>
      <c r="H6" s="13"/>
      <c r="I6" s="13"/>
      <c r="J6" s="13"/>
      <c r="K6" s="13"/>
    </row>
    <row r="7" spans="1:12" ht="17">
      <c r="A7" s="13"/>
      <c r="B7" s="36"/>
      <c r="C7" s="36"/>
      <c r="D7" s="36"/>
      <c r="E7" s="36"/>
      <c r="F7" s="36"/>
      <c r="G7" s="15"/>
      <c r="H7" s="45"/>
      <c r="I7" s="45"/>
      <c r="J7" s="87"/>
      <c r="K7" s="87"/>
      <c r="L7" s="3"/>
    </row>
    <row r="8" spans="1:12" ht="17">
      <c r="A8" s="88"/>
      <c r="B8" s="36"/>
      <c r="C8" s="36"/>
      <c r="D8" s="36"/>
      <c r="E8" s="36"/>
      <c r="F8" s="36"/>
      <c r="G8" s="15"/>
      <c r="H8" s="45"/>
      <c r="I8" s="45"/>
      <c r="J8" s="87"/>
      <c r="K8" s="87"/>
      <c r="L8" s="3"/>
    </row>
    <row r="9" spans="1:12" ht="17">
      <c r="A9" s="88"/>
      <c r="B9" s="36"/>
      <c r="C9" s="36"/>
      <c r="D9" s="36"/>
      <c r="E9" s="36"/>
      <c r="F9" s="36"/>
      <c r="G9" s="15"/>
      <c r="H9" s="45"/>
      <c r="I9" s="45"/>
      <c r="J9" s="87"/>
      <c r="K9" s="87"/>
      <c r="L9" s="3"/>
    </row>
    <row r="10" spans="1:12" ht="17">
      <c r="A10" s="45"/>
      <c r="D10" s="45"/>
      <c r="E10" s="45"/>
      <c r="F10" s="45"/>
      <c r="G10" s="45"/>
      <c r="H10" s="45"/>
      <c r="I10" s="45"/>
      <c r="J10" s="45"/>
      <c r="K10" s="45"/>
      <c r="L10" s="2"/>
    </row>
    <row r="11" spans="1:12" ht="17.5" thickBot="1">
      <c r="A11" s="45"/>
      <c r="D11" s="45"/>
      <c r="E11" s="89"/>
      <c r="F11" s="30"/>
      <c r="G11" s="89"/>
      <c r="H11" s="45"/>
      <c r="I11" s="45"/>
      <c r="J11" s="45"/>
      <c r="K11" s="45"/>
      <c r="L11" s="2"/>
    </row>
    <row r="12" spans="1:12" ht="26" thickBot="1">
      <c r="A12" s="29" t="s">
        <v>434</v>
      </c>
      <c r="D12" s="45"/>
      <c r="E12" s="45"/>
      <c r="F12" s="33" t="s">
        <v>94</v>
      </c>
      <c r="G12" s="45"/>
      <c r="H12" s="45"/>
      <c r="I12" s="45"/>
      <c r="J12" s="45"/>
      <c r="K12" s="13"/>
    </row>
    <row r="13" spans="1:12" ht="21.5" thickBot="1">
      <c r="A13" s="32"/>
      <c r="D13" s="45"/>
      <c r="E13" s="89"/>
      <c r="F13" s="38" t="s">
        <v>488</v>
      </c>
      <c r="G13" s="89"/>
      <c r="H13" s="45"/>
      <c r="I13" s="45"/>
      <c r="J13" s="45" t="s">
        <v>0</v>
      </c>
      <c r="K13" s="13"/>
    </row>
    <row r="14" spans="1:12" ht="21">
      <c r="A14" s="32"/>
      <c r="B14" s="45"/>
      <c r="C14" s="45"/>
      <c r="D14" s="45"/>
      <c r="E14" s="45"/>
      <c r="F14" s="14" t="s">
        <v>0</v>
      </c>
      <c r="G14" s="45"/>
      <c r="H14" s="45"/>
      <c r="I14" s="45"/>
      <c r="J14" s="45"/>
      <c r="K14" s="13"/>
    </row>
    <row r="15" spans="1:12" ht="17.5" thickBot="1">
      <c r="A15" s="43" t="s">
        <v>0</v>
      </c>
      <c r="B15" s="43" t="s">
        <v>0</v>
      </c>
      <c r="C15" s="43" t="s">
        <v>0</v>
      </c>
      <c r="D15" s="43"/>
      <c r="E15" s="43"/>
      <c r="F15" s="43"/>
      <c r="G15" s="43" t="s">
        <v>0</v>
      </c>
      <c r="H15" s="89"/>
      <c r="I15" s="89"/>
      <c r="J15" s="89"/>
      <c r="K15" s="13"/>
    </row>
    <row r="16" spans="1:12" ht="17.5">
      <c r="A16" s="90"/>
      <c r="B16" s="91"/>
      <c r="C16" s="261"/>
      <c r="D16" s="93" t="s">
        <v>13</v>
      </c>
      <c r="E16" s="94" t="s">
        <v>13</v>
      </c>
      <c r="F16" s="93" t="s">
        <v>13</v>
      </c>
      <c r="G16" s="92" t="s">
        <v>265</v>
      </c>
      <c r="H16" s="95" t="s">
        <v>490</v>
      </c>
      <c r="I16" s="95" t="s">
        <v>490</v>
      </c>
      <c r="J16" s="95" t="s">
        <v>490</v>
      </c>
      <c r="K16" s="13"/>
    </row>
    <row r="17" spans="1:13" ht="17.5">
      <c r="A17" s="90" t="s">
        <v>0</v>
      </c>
      <c r="B17" s="91" t="s">
        <v>3</v>
      </c>
      <c r="C17" s="91" t="s">
        <v>5</v>
      </c>
      <c r="D17" s="93" t="s">
        <v>10</v>
      </c>
      <c r="E17" s="94" t="s">
        <v>10</v>
      </c>
      <c r="F17" s="93" t="s">
        <v>19</v>
      </c>
      <c r="G17" s="95" t="s">
        <v>490</v>
      </c>
      <c r="H17" s="91" t="s">
        <v>12</v>
      </c>
      <c r="I17" s="97" t="s">
        <v>11</v>
      </c>
      <c r="J17" s="98" t="s">
        <v>172</v>
      </c>
      <c r="K17" s="13"/>
    </row>
    <row r="18" spans="1:13" ht="17.5">
      <c r="A18" s="90" t="s">
        <v>2</v>
      </c>
      <c r="B18" s="91" t="s">
        <v>4</v>
      </c>
      <c r="C18" s="91" t="s">
        <v>6</v>
      </c>
      <c r="D18" s="93" t="s">
        <v>56</v>
      </c>
      <c r="E18" s="94" t="s">
        <v>57</v>
      </c>
      <c r="F18" s="93" t="s">
        <v>10</v>
      </c>
      <c r="G18" s="96" t="s">
        <v>10</v>
      </c>
      <c r="H18" s="91" t="s">
        <v>91</v>
      </c>
      <c r="I18" s="210"/>
      <c r="J18" s="98" t="s">
        <v>266</v>
      </c>
      <c r="K18" s="13" t="s">
        <v>0</v>
      </c>
    </row>
    <row r="19" spans="1:13" ht="18" thickBot="1">
      <c r="A19" s="99" t="s">
        <v>0</v>
      </c>
      <c r="B19" s="100" t="s">
        <v>0</v>
      </c>
      <c r="C19" s="100" t="s">
        <v>0</v>
      </c>
      <c r="D19" s="100" t="s">
        <v>0</v>
      </c>
      <c r="E19" s="101" t="s">
        <v>0</v>
      </c>
      <c r="F19" s="100" t="s">
        <v>0</v>
      </c>
      <c r="G19" s="101" t="s">
        <v>0</v>
      </c>
      <c r="H19" s="102" t="s">
        <v>80</v>
      </c>
      <c r="I19" s="103" t="s">
        <v>79</v>
      </c>
      <c r="J19" s="102" t="s">
        <v>79</v>
      </c>
      <c r="K19" s="13"/>
      <c r="M19" s="350" t="s">
        <v>0</v>
      </c>
    </row>
    <row r="20" spans="1:13" ht="17">
      <c r="A20" s="104" t="s">
        <v>7</v>
      </c>
      <c r="B20" s="105" t="s">
        <v>7</v>
      </c>
      <c r="C20" s="280" t="s">
        <v>7</v>
      </c>
      <c r="D20" s="105" t="s">
        <v>7</v>
      </c>
      <c r="E20" s="44" t="s">
        <v>7</v>
      </c>
      <c r="F20" s="105" t="s">
        <v>15</v>
      </c>
      <c r="G20" s="44" t="s">
        <v>7</v>
      </c>
      <c r="H20" s="105" t="s">
        <v>8</v>
      </c>
      <c r="I20" s="44" t="s">
        <v>8</v>
      </c>
      <c r="J20" s="105" t="s">
        <v>8</v>
      </c>
      <c r="K20" s="13"/>
      <c r="M20" s="350" t="s">
        <v>0</v>
      </c>
    </row>
    <row r="21" spans="1:13" ht="17.5">
      <c r="A21" s="90"/>
      <c r="B21" s="91"/>
      <c r="C21" s="91"/>
      <c r="D21" s="91"/>
      <c r="E21" s="92"/>
      <c r="F21" s="91"/>
      <c r="G21" s="92"/>
      <c r="H21" s="91"/>
      <c r="I21" s="65"/>
      <c r="J21" s="106"/>
      <c r="K21" s="13"/>
    </row>
    <row r="22" spans="1:13" ht="17.5">
      <c r="A22" s="107" t="s">
        <v>406</v>
      </c>
      <c r="B22" s="91" t="s">
        <v>407</v>
      </c>
      <c r="C22" s="91" t="s">
        <v>408</v>
      </c>
      <c r="D22" s="109">
        <v>118.27</v>
      </c>
      <c r="E22" s="109">
        <v>101</v>
      </c>
      <c r="F22" s="109">
        <f>AVERAGE(D22,E22)</f>
        <v>109.63499999999999</v>
      </c>
      <c r="G22" s="109">
        <v>115.9</v>
      </c>
      <c r="H22" s="310">
        <v>150834397</v>
      </c>
      <c r="I22" s="306"/>
      <c r="J22" s="306">
        <f>1561000+7444195000</f>
        <v>7445756000</v>
      </c>
      <c r="K22" s="13"/>
      <c r="M22" s="122" t="s">
        <v>0</v>
      </c>
    </row>
    <row r="23" spans="1:13" ht="17.5">
      <c r="A23" s="107" t="s">
        <v>409</v>
      </c>
      <c r="B23" s="91" t="s">
        <v>410</v>
      </c>
      <c r="C23" s="82" t="s">
        <v>436</v>
      </c>
      <c r="D23" s="109">
        <v>57.16</v>
      </c>
      <c r="E23" s="109">
        <v>46.43</v>
      </c>
      <c r="F23" s="109">
        <f>AVERAGE(D23,E23)</f>
        <v>51.795000000000002</v>
      </c>
      <c r="G23" s="109">
        <v>53.95</v>
      </c>
      <c r="H23" s="310">
        <f>68265042-68073</f>
        <v>68196969</v>
      </c>
      <c r="I23" s="306"/>
      <c r="J23" s="306">
        <f>3801200000+600000000</f>
        <v>4401200000</v>
      </c>
      <c r="K23" s="13"/>
      <c r="M23" s="349"/>
    </row>
    <row r="24" spans="1:13" ht="17.5">
      <c r="A24" s="110" t="s">
        <v>411</v>
      </c>
      <c r="B24" s="91" t="s">
        <v>52</v>
      </c>
      <c r="C24" s="82" t="s">
        <v>437</v>
      </c>
      <c r="D24" s="98">
        <v>30.55</v>
      </c>
      <c r="E24" s="98">
        <v>25.42</v>
      </c>
      <c r="F24" s="109">
        <f t="shared" ref="F24:F30" si="0">AVERAGE(D24,E24)</f>
        <v>27.984999999999999</v>
      </c>
      <c r="G24" s="98">
        <v>28.57</v>
      </c>
      <c r="H24" s="306">
        <v>631225829</v>
      </c>
      <c r="I24" s="310">
        <v>0</v>
      </c>
      <c r="J24" s="306">
        <f>17559000000+178000000</f>
        <v>17737000000</v>
      </c>
      <c r="K24" s="13"/>
      <c r="M24" s="347" t="s">
        <v>0</v>
      </c>
    </row>
    <row r="25" spans="1:13" ht="17.5">
      <c r="A25" s="110" t="s">
        <v>412</v>
      </c>
      <c r="B25" s="91" t="s">
        <v>47</v>
      </c>
      <c r="C25" s="82" t="s">
        <v>437</v>
      </c>
      <c r="D25" s="98">
        <v>60.36</v>
      </c>
      <c r="E25" s="109">
        <v>50.57</v>
      </c>
      <c r="F25" s="109">
        <f t="shared" si="0"/>
        <v>55.465000000000003</v>
      </c>
      <c r="G25" s="109">
        <v>58.07</v>
      </c>
      <c r="H25" s="310">
        <v>29444000</v>
      </c>
      <c r="I25" s="306">
        <v>224000000</v>
      </c>
      <c r="J25" s="306">
        <f>(14508+62+980)*1000000</f>
        <v>15550000000</v>
      </c>
      <c r="K25" s="13"/>
      <c r="M25" s="347" t="s">
        <v>0</v>
      </c>
    </row>
    <row r="26" spans="1:13" ht="17.5">
      <c r="A26" s="107" t="s">
        <v>413</v>
      </c>
      <c r="B26" s="91" t="s">
        <v>414</v>
      </c>
      <c r="C26" s="91" t="s">
        <v>408</v>
      </c>
      <c r="D26" s="109">
        <v>45.87</v>
      </c>
      <c r="E26" s="109">
        <v>38.92</v>
      </c>
      <c r="F26" s="109">
        <f t="shared" si="0"/>
        <v>42.394999999999996</v>
      </c>
      <c r="G26" s="109">
        <v>44.58</v>
      </c>
      <c r="H26" s="310">
        <f>98202255-15710</f>
        <v>98186545</v>
      </c>
      <c r="I26" s="306"/>
      <c r="J26" s="335">
        <f>2738997000+219627000</f>
        <v>2958624000</v>
      </c>
      <c r="K26" s="13"/>
      <c r="M26" s="347" t="s">
        <v>0</v>
      </c>
    </row>
    <row r="27" spans="1:13" ht="17.5">
      <c r="A27" s="107" t="s">
        <v>415</v>
      </c>
      <c r="B27" s="91" t="s">
        <v>416</v>
      </c>
      <c r="C27" s="91" t="s">
        <v>408</v>
      </c>
      <c r="D27" s="109">
        <v>26.71</v>
      </c>
      <c r="E27" s="109">
        <v>22.86</v>
      </c>
      <c r="F27" s="109">
        <f t="shared" si="0"/>
        <v>24.785</v>
      </c>
      <c r="G27" s="109">
        <v>26.55</v>
      </c>
      <c r="H27" s="310">
        <v>447381671</v>
      </c>
      <c r="I27" s="306">
        <v>486100000</v>
      </c>
      <c r="J27" s="306">
        <f>23800000+11055500000</f>
        <v>11079300000</v>
      </c>
      <c r="K27" s="13"/>
      <c r="M27" s="347" t="s">
        <v>0</v>
      </c>
    </row>
    <row r="28" spans="1:13" ht="17.5">
      <c r="A28" s="336" t="s">
        <v>440</v>
      </c>
      <c r="B28" s="82" t="s">
        <v>417</v>
      </c>
      <c r="C28" s="91" t="s">
        <v>408</v>
      </c>
      <c r="D28" s="109">
        <v>40.659999999999997</v>
      </c>
      <c r="E28" s="109">
        <v>35.72</v>
      </c>
      <c r="F28" s="109">
        <f t="shared" si="0"/>
        <v>38.19</v>
      </c>
      <c r="G28" s="109">
        <v>38.94</v>
      </c>
      <c r="H28" s="310">
        <v>37631212</v>
      </c>
      <c r="I28" s="306">
        <v>0</v>
      </c>
      <c r="J28" s="348">
        <f>89780000+1425435000</f>
        <v>1515215000</v>
      </c>
      <c r="K28" s="13"/>
      <c r="L28" t="s">
        <v>0</v>
      </c>
      <c r="M28" s="347" t="s">
        <v>0</v>
      </c>
    </row>
    <row r="29" spans="1:13" ht="17.5">
      <c r="A29" s="336" t="s">
        <v>418</v>
      </c>
      <c r="B29" s="82" t="s">
        <v>419</v>
      </c>
      <c r="C29" s="91" t="s">
        <v>408</v>
      </c>
      <c r="D29" s="109">
        <v>70.66</v>
      </c>
      <c r="E29" s="109">
        <v>57</v>
      </c>
      <c r="F29" s="109">
        <f t="shared" si="0"/>
        <v>63.83</v>
      </c>
      <c r="G29" s="109">
        <v>63.72</v>
      </c>
      <c r="H29" s="310">
        <v>56545924</v>
      </c>
      <c r="I29" s="306">
        <v>0</v>
      </c>
      <c r="J29" s="306">
        <f>772984000+2160401000</f>
        <v>2933385000</v>
      </c>
      <c r="K29" s="13"/>
      <c r="M29" s="347" t="s">
        <v>0</v>
      </c>
    </row>
    <row r="30" spans="1:13" ht="17.5">
      <c r="A30" s="365" t="s">
        <v>439</v>
      </c>
      <c r="B30" s="82" t="s">
        <v>420</v>
      </c>
      <c r="C30" s="91" t="s">
        <v>408</v>
      </c>
      <c r="D30" s="109">
        <v>65.290000000000006</v>
      </c>
      <c r="E30" s="109">
        <v>56.17</v>
      </c>
      <c r="F30" s="109">
        <f t="shared" si="0"/>
        <v>60.730000000000004</v>
      </c>
      <c r="G30" s="109">
        <v>63.35</v>
      </c>
      <c r="H30" s="310">
        <v>71563750</v>
      </c>
      <c r="I30" s="306"/>
      <c r="J30" s="306">
        <f>4609838000+425520000</f>
        <v>5035358000</v>
      </c>
      <c r="K30" s="13"/>
      <c r="L30" t="s">
        <v>0</v>
      </c>
      <c r="M30" t="s">
        <v>0</v>
      </c>
    </row>
    <row r="31" spans="1:13" ht="17.5">
      <c r="A31" s="336" t="s">
        <v>435</v>
      </c>
      <c r="B31" s="82" t="s">
        <v>421</v>
      </c>
      <c r="C31" s="91" t="s">
        <v>408</v>
      </c>
      <c r="D31" s="109">
        <v>65.67</v>
      </c>
      <c r="E31" s="109">
        <v>53.77</v>
      </c>
      <c r="F31" s="109">
        <f>AVERAGE(D31,E31)</f>
        <v>59.72</v>
      </c>
      <c r="G31" s="109">
        <v>62.34</v>
      </c>
      <c r="H31" s="310">
        <v>53200000</v>
      </c>
      <c r="I31" s="306">
        <v>242000000</v>
      </c>
      <c r="J31" s="306">
        <f>457000000+3247800000</f>
        <v>3704800000</v>
      </c>
      <c r="K31" s="13"/>
      <c r="M31" s="347" t="s">
        <v>0</v>
      </c>
    </row>
    <row r="32" spans="1:13" ht="18" thickBot="1">
      <c r="A32" s="337" t="s">
        <v>44</v>
      </c>
      <c r="B32" s="83" t="s">
        <v>53</v>
      </c>
      <c r="C32" s="83" t="s">
        <v>437</v>
      </c>
      <c r="D32" s="353">
        <v>87.66</v>
      </c>
      <c r="E32" s="353">
        <v>75.47</v>
      </c>
      <c r="F32" s="351">
        <f>AVERAGE(D32,E32)</f>
        <v>81.564999999999998</v>
      </c>
      <c r="G32" s="353">
        <v>84.17</v>
      </c>
      <c r="H32" s="308">
        <v>315434531</v>
      </c>
      <c r="I32" s="112">
        <v>30400000</v>
      </c>
      <c r="J32" s="308">
        <f>15512800000+1264200000</f>
        <v>16777000000</v>
      </c>
      <c r="K32" s="13"/>
      <c r="L32" t="s">
        <v>0</v>
      </c>
      <c r="M32" s="310" t="s">
        <v>0</v>
      </c>
    </row>
    <row r="33" spans="1:12" ht="17.5">
      <c r="A33" s="113"/>
      <c r="B33" s="113"/>
      <c r="C33" s="113"/>
      <c r="D33" s="113"/>
      <c r="E33" s="113"/>
      <c r="F33" s="113"/>
      <c r="G33" s="113"/>
      <c r="H33" s="113"/>
      <c r="I33" s="113"/>
      <c r="J33" s="113"/>
      <c r="K33" s="13"/>
    </row>
    <row r="34" spans="1:12" ht="17.5">
      <c r="A34" s="113"/>
      <c r="B34" s="113"/>
      <c r="C34" s="113"/>
      <c r="D34" s="113"/>
      <c r="E34" s="113"/>
      <c r="F34" s="113"/>
      <c r="G34" s="113"/>
      <c r="H34" s="113"/>
      <c r="I34" s="113"/>
      <c r="J34" s="113" t="s">
        <v>0</v>
      </c>
      <c r="K34" s="13"/>
      <c r="L34" t="s">
        <v>0</v>
      </c>
    </row>
    <row r="35" spans="1:12" ht="18" thickBot="1">
      <c r="A35" s="114" t="s">
        <v>0</v>
      </c>
      <c r="B35" s="115"/>
      <c r="C35" s="115"/>
      <c r="D35" s="115"/>
      <c r="E35" s="115"/>
      <c r="F35" s="30"/>
      <c r="G35" s="115"/>
      <c r="H35" s="115"/>
      <c r="I35" s="115"/>
      <c r="J35" s="113"/>
      <c r="K35" s="113"/>
      <c r="L35" s="4"/>
    </row>
    <row r="36" spans="1:12" ht="17.5">
      <c r="A36" s="116"/>
      <c r="B36" s="434"/>
      <c r="C36" s="117"/>
      <c r="D36" s="434"/>
      <c r="E36" s="118" t="s">
        <v>0</v>
      </c>
      <c r="F36" s="440" t="s">
        <v>0</v>
      </c>
      <c r="G36" s="119"/>
      <c r="H36" s="434"/>
      <c r="I36" s="434"/>
      <c r="J36" s="434"/>
      <c r="K36" s="113"/>
      <c r="L36" s="4"/>
    </row>
    <row r="37" spans="1:12" ht="18.649999999999999" customHeight="1">
      <c r="A37" s="90"/>
      <c r="B37" s="91"/>
      <c r="C37" s="92"/>
      <c r="D37" s="95" t="s">
        <v>490</v>
      </c>
      <c r="E37" s="96" t="s">
        <v>490</v>
      </c>
      <c r="F37" s="95" t="s">
        <v>490</v>
      </c>
      <c r="G37" s="96" t="s">
        <v>490</v>
      </c>
      <c r="H37" s="95" t="s">
        <v>490</v>
      </c>
      <c r="I37" s="95" t="s">
        <v>490</v>
      </c>
      <c r="J37" s="95" t="s">
        <v>490</v>
      </c>
      <c r="K37" s="13"/>
      <c r="L37" s="5"/>
    </row>
    <row r="38" spans="1:12" ht="17.5">
      <c r="A38" s="90" t="s">
        <v>0</v>
      </c>
      <c r="B38" s="91" t="s">
        <v>3</v>
      </c>
      <c r="C38" s="92" t="s">
        <v>5</v>
      </c>
      <c r="D38" s="91" t="s">
        <v>12</v>
      </c>
      <c r="E38" s="108" t="s">
        <v>171</v>
      </c>
      <c r="F38" s="98" t="s">
        <v>317</v>
      </c>
      <c r="G38" s="92" t="s">
        <v>231</v>
      </c>
      <c r="H38" s="98" t="s">
        <v>16</v>
      </c>
      <c r="I38" s="98" t="s">
        <v>17</v>
      </c>
      <c r="J38" s="98" t="s">
        <v>66</v>
      </c>
      <c r="K38" s="13"/>
      <c r="L38" s="5"/>
    </row>
    <row r="39" spans="1:12" ht="18" thickBot="1">
      <c r="A39" s="99" t="s">
        <v>2</v>
      </c>
      <c r="B39" s="100" t="s">
        <v>4</v>
      </c>
      <c r="C39" s="101" t="s">
        <v>6</v>
      </c>
      <c r="D39" s="100" t="s">
        <v>14</v>
      </c>
      <c r="E39" s="101" t="s">
        <v>14</v>
      </c>
      <c r="F39" s="100" t="s">
        <v>330</v>
      </c>
      <c r="G39" s="101" t="s">
        <v>14</v>
      </c>
      <c r="H39" s="100" t="s">
        <v>384</v>
      </c>
      <c r="I39" s="100" t="s">
        <v>0</v>
      </c>
      <c r="J39" s="100" t="s">
        <v>383</v>
      </c>
      <c r="K39" s="13"/>
      <c r="L39" s="1"/>
    </row>
    <row r="40" spans="1:12" ht="17">
      <c r="A40" s="279" t="s">
        <v>7</v>
      </c>
      <c r="B40" s="280" t="s">
        <v>7</v>
      </c>
      <c r="C40" s="338" t="s">
        <v>7</v>
      </c>
      <c r="D40" s="280" t="s">
        <v>15</v>
      </c>
      <c r="E40" s="338" t="s">
        <v>8</v>
      </c>
      <c r="F40" s="280" t="s">
        <v>8</v>
      </c>
      <c r="G40" s="338" t="s">
        <v>8</v>
      </c>
      <c r="H40" s="280" t="s">
        <v>15</v>
      </c>
      <c r="I40" s="280" t="s">
        <v>15</v>
      </c>
      <c r="J40" s="280" t="s">
        <v>15</v>
      </c>
      <c r="K40" s="13"/>
      <c r="L40" s="5"/>
    </row>
    <row r="41" spans="1:12" ht="17.5">
      <c r="A41" s="90"/>
      <c r="B41" s="91"/>
      <c r="C41" s="92"/>
      <c r="D41" s="437"/>
      <c r="E41" s="113"/>
      <c r="F41" s="437"/>
      <c r="G41" s="113"/>
      <c r="H41" s="106"/>
      <c r="I41" s="106"/>
      <c r="J41" s="106"/>
      <c r="K41" s="13"/>
      <c r="L41" s="4"/>
    </row>
    <row r="42" spans="1:12" ht="17.5">
      <c r="A42" s="107" t="str">
        <f t="shared" ref="A42:C45" si="1">+A22</f>
        <v>Atmos Energy Corp</v>
      </c>
      <c r="B42" s="91" t="str">
        <f t="shared" si="1"/>
        <v>ATO</v>
      </c>
      <c r="C42" s="92" t="str">
        <f t="shared" si="1"/>
        <v>Gas Utility</v>
      </c>
      <c r="D42" s="438">
        <f>(+H22)*G22</f>
        <v>17481706612.299999</v>
      </c>
      <c r="E42" s="344">
        <f>(1/1)*I22</f>
        <v>0</v>
      </c>
      <c r="F42" s="438">
        <v>44090000</v>
      </c>
      <c r="G42" s="122">
        <f>J22*(6963106/7460000)</f>
        <v>6949810761.1442356</v>
      </c>
      <c r="H42" s="306">
        <f>+D42+E42+F42+G42</f>
        <v>24475607373.444237</v>
      </c>
      <c r="I42" s="435">
        <f t="shared" ref="I42:I52" si="2">(+D42)/H42</f>
        <v>0.71425016529998175</v>
      </c>
      <c r="J42" s="435">
        <f>(+E42+F42+G42)/H42</f>
        <v>0.28574983470001813</v>
      </c>
      <c r="K42" s="13"/>
      <c r="L42" s="4"/>
    </row>
    <row r="43" spans="1:12" ht="17.5">
      <c r="A43" s="107" t="str">
        <f t="shared" si="1"/>
        <v>Black Hills Corporation</v>
      </c>
      <c r="B43" s="91" t="str">
        <f t="shared" si="1"/>
        <v>BKH</v>
      </c>
      <c r="C43" s="36" t="str">
        <f t="shared" si="1"/>
        <v>Electric Utility - West</v>
      </c>
      <c r="D43" s="438">
        <f>(+H23)*G23</f>
        <v>3679226477.5500002</v>
      </c>
      <c r="E43" s="122">
        <f>(194.8/200)*I23</f>
        <v>0</v>
      </c>
      <c r="F43" s="438"/>
      <c r="G43" s="122">
        <f>J23*(42156/44012)</f>
        <v>4215600000.0000005</v>
      </c>
      <c r="H43" s="306">
        <f t="shared" ref="H43:H52" si="3">+D43+E43+F43+G43</f>
        <v>7894826477.5500011</v>
      </c>
      <c r="I43" s="435">
        <f t="shared" si="2"/>
        <v>0.4660300626001565</v>
      </c>
      <c r="J43" s="435">
        <f t="shared" ref="J43:J51" si="4">(+E43+F43+G43)/H43</f>
        <v>0.53396993739984344</v>
      </c>
      <c r="K43" s="13"/>
      <c r="L43" s="4"/>
    </row>
    <row r="44" spans="1:12" ht="17.5">
      <c r="A44" s="107" t="str">
        <f t="shared" si="1"/>
        <v>CenterPoint Energy Inc.</v>
      </c>
      <c r="B44" s="91" t="str">
        <f t="shared" si="1"/>
        <v>CNP</v>
      </c>
      <c r="C44" s="36" t="str">
        <f t="shared" si="1"/>
        <v>Electric Utility - Central</v>
      </c>
      <c r="D44" s="438">
        <f>(+H24)*G24</f>
        <v>18034121934.529999</v>
      </c>
      <c r="E44" s="122">
        <f>(1/1)*I24</f>
        <v>0</v>
      </c>
      <c r="F44" s="438">
        <v>6000000</v>
      </c>
      <c r="G44" s="122">
        <f>J24*(17804/18609)</f>
        <v>16969721532.591757</v>
      </c>
      <c r="H44" s="306">
        <f t="shared" si="3"/>
        <v>35009843467.121758</v>
      </c>
      <c r="I44" s="435">
        <f t="shared" si="2"/>
        <v>0.51511575455817449</v>
      </c>
      <c r="J44" s="435">
        <f t="shared" si="4"/>
        <v>0.48488424544182551</v>
      </c>
      <c r="K44" s="13"/>
      <c r="L44" s="4"/>
    </row>
    <row r="45" spans="1:12" ht="17.5">
      <c r="A45" s="107" t="str">
        <f t="shared" si="1"/>
        <v>CMS Energy Corporation</v>
      </c>
      <c r="B45" s="91" t="str">
        <f t="shared" si="1"/>
        <v>CMS</v>
      </c>
      <c r="C45" s="36" t="str">
        <f t="shared" si="1"/>
        <v>Electric Utility - Central</v>
      </c>
      <c r="D45" s="438">
        <f>(+H25)*G25</f>
        <v>1709813080</v>
      </c>
      <c r="E45" s="122">
        <f>(1/1)*I25</f>
        <v>224000000</v>
      </c>
      <c r="F45" s="438">
        <v>26000000</v>
      </c>
      <c r="G45" s="122">
        <f>J25*(14305/15483)</f>
        <v>14366902409.093845</v>
      </c>
      <c r="H45" s="306">
        <f t="shared" si="3"/>
        <v>16326715489.093845</v>
      </c>
      <c r="I45" s="435">
        <f t="shared" si="2"/>
        <v>0.1047248652763102</v>
      </c>
      <c r="J45" s="435">
        <f t="shared" si="4"/>
        <v>0.8952751347236898</v>
      </c>
      <c r="K45" s="13"/>
      <c r="L45" s="4"/>
    </row>
    <row r="46" spans="1:12" ht="17.5">
      <c r="A46" s="107" t="str">
        <f t="shared" ref="A46:C52" si="5">+A26</f>
        <v>New Jersey Resources Corp</v>
      </c>
      <c r="B46" s="91" t="str">
        <f t="shared" si="5"/>
        <v>NJR</v>
      </c>
      <c r="C46" s="92" t="str">
        <f t="shared" si="5"/>
        <v>Gas Utility</v>
      </c>
      <c r="D46" s="438">
        <f t="shared" ref="D46:D52" si="6">(+H26)*G26</f>
        <v>4377156176.0999994</v>
      </c>
      <c r="E46" s="122">
        <f t="shared" ref="E46:E52" si="7">(1/1)*I26</f>
        <v>0</v>
      </c>
      <c r="F46" s="438">
        <f>4798000+148849000</f>
        <v>153647000</v>
      </c>
      <c r="G46" s="122">
        <f>J26*(2334582/2637845)</f>
        <v>2618482259.2563248</v>
      </c>
      <c r="H46" s="306">
        <f t="shared" si="3"/>
        <v>7149285435.3563242</v>
      </c>
      <c r="I46" s="435">
        <f t="shared" si="2"/>
        <v>0.61225086278595897</v>
      </c>
      <c r="J46" s="435">
        <f t="shared" si="4"/>
        <v>0.38774913721404108</v>
      </c>
      <c r="K46" s="13"/>
      <c r="L46" s="4"/>
    </row>
    <row r="47" spans="1:12" ht="17.5">
      <c r="A47" s="107" t="str">
        <f t="shared" si="5"/>
        <v>NISOURCE Inc.</v>
      </c>
      <c r="B47" s="91" t="str">
        <f t="shared" si="5"/>
        <v>NI</v>
      </c>
      <c r="C47" s="92" t="str">
        <f t="shared" si="5"/>
        <v>Gas Utility</v>
      </c>
      <c r="D47" s="438">
        <f t="shared" si="6"/>
        <v>11877983365.050001</v>
      </c>
      <c r="E47" s="122">
        <f t="shared" si="7"/>
        <v>486100000</v>
      </c>
      <c r="F47" s="438">
        <v>34100000</v>
      </c>
      <c r="G47" s="122">
        <f>J27*(10370900000/11079300000)</f>
        <v>10370900000</v>
      </c>
      <c r="H47" s="306">
        <f>+D47+E47+F47+G47</f>
        <v>22769083365.050003</v>
      </c>
      <c r="I47" s="435">
        <f>(+D47)/H47</f>
        <v>0.52167156554411065</v>
      </c>
      <c r="J47" s="435">
        <f>(+E47+F47+G47)/H47</f>
        <v>0.4783284344558893</v>
      </c>
      <c r="K47" s="13"/>
      <c r="L47" s="4"/>
    </row>
    <row r="48" spans="1:12" ht="17.5">
      <c r="A48" s="107" t="str">
        <f t="shared" si="5"/>
        <v xml:space="preserve">Northwest Natural Holding Company </v>
      </c>
      <c r="B48" s="91" t="str">
        <f t="shared" si="5"/>
        <v>NWN</v>
      </c>
      <c r="C48" s="92" t="str">
        <f t="shared" si="5"/>
        <v>Gas Utility</v>
      </c>
      <c r="D48" s="438">
        <f t="shared" si="6"/>
        <v>1465359395.28</v>
      </c>
      <c r="E48" s="122">
        <f t="shared" si="7"/>
        <v>0</v>
      </c>
      <c r="F48" s="438">
        <v>80479000</v>
      </c>
      <c r="G48" s="388">
        <f>J28*(1576300000/1364732000)</f>
        <v>1750111673.5740058</v>
      </c>
      <c r="H48" s="306">
        <f>+D48+E48+F48+G48</f>
        <v>3295950068.8540058</v>
      </c>
      <c r="I48" s="435">
        <f t="shared" si="2"/>
        <v>0.44459393032901801</v>
      </c>
      <c r="J48" s="435">
        <f>(+E48+F48+G48)/H48</f>
        <v>0.55540606967098194</v>
      </c>
      <c r="K48" s="13"/>
      <c r="L48" s="4"/>
    </row>
    <row r="49" spans="1:12" ht="17.5">
      <c r="A49" s="107" t="str">
        <f t="shared" si="5"/>
        <v>One Gas INC</v>
      </c>
      <c r="B49" s="91" t="str">
        <f t="shared" si="5"/>
        <v>OGS</v>
      </c>
      <c r="C49" s="92" t="str">
        <f t="shared" si="5"/>
        <v>Gas Utility</v>
      </c>
      <c r="D49" s="438">
        <f t="shared" si="6"/>
        <v>3603106277.2799997</v>
      </c>
      <c r="E49" s="122">
        <f t="shared" si="7"/>
        <v>0</v>
      </c>
      <c r="F49" s="438">
        <v>20300000</v>
      </c>
      <c r="G49" s="122">
        <f>J29*(2800000000/2933385000)</f>
        <v>2800000000</v>
      </c>
      <c r="H49" s="306">
        <f t="shared" si="3"/>
        <v>6423406277.2799997</v>
      </c>
      <c r="I49" s="435">
        <f t="shared" si="2"/>
        <v>0.5609338911076539</v>
      </c>
      <c r="J49" s="435">
        <f t="shared" si="4"/>
        <v>0.4390661088923461</v>
      </c>
      <c r="K49" s="13"/>
      <c r="L49" s="4"/>
    </row>
    <row r="50" spans="1:12" ht="17.5">
      <c r="A50" s="107" t="str">
        <f>+A30</f>
        <v>Southwest Gas Holdings, Inc</v>
      </c>
      <c r="B50" s="91" t="str">
        <f t="shared" si="5"/>
        <v>SWX</v>
      </c>
      <c r="C50" s="92" t="str">
        <f t="shared" si="5"/>
        <v>Gas Utility</v>
      </c>
      <c r="D50" s="438">
        <f t="shared" si="6"/>
        <v>4533563562.5</v>
      </c>
      <c r="E50" s="122">
        <f t="shared" si="7"/>
        <v>0</v>
      </c>
      <c r="F50" s="438">
        <v>124578000</v>
      </c>
      <c r="G50" s="122">
        <f>J30*((79502+26883+78000+309180+285300+307170+382635+563940+126238+214050+225240+236370+197760+50000+50000+50000+50000+996723+77205+92209)*1000/4609838000)</f>
        <v>4804408268.5747309</v>
      </c>
      <c r="H50" s="306">
        <f t="shared" si="3"/>
        <v>9462549831.0747299</v>
      </c>
      <c r="I50" s="435">
        <f t="shared" si="2"/>
        <v>0.47910591156010751</v>
      </c>
      <c r="J50" s="435">
        <f t="shared" si="4"/>
        <v>0.5208940884398926</v>
      </c>
      <c r="K50" s="13"/>
      <c r="L50" s="4"/>
    </row>
    <row r="51" spans="1:12" ht="17.5">
      <c r="A51" s="107" t="str">
        <f t="shared" si="5"/>
        <v>Spire Inc / Laclede Group Inc</v>
      </c>
      <c r="B51" s="91" t="str">
        <f t="shared" si="5"/>
        <v>SR</v>
      </c>
      <c r="C51" s="92" t="str">
        <f t="shared" si="5"/>
        <v>Gas Utility</v>
      </c>
      <c r="D51" s="438">
        <f t="shared" si="6"/>
        <v>3316488000</v>
      </c>
      <c r="E51" s="122">
        <f t="shared" si="7"/>
        <v>242000000</v>
      </c>
      <c r="F51" s="438">
        <v>0</v>
      </c>
      <c r="G51" s="122">
        <f>J31*(3481.5/3704.8)</f>
        <v>3481500000</v>
      </c>
      <c r="H51" s="306">
        <f t="shared" si="3"/>
        <v>7039988000</v>
      </c>
      <c r="I51" s="435">
        <f t="shared" si="2"/>
        <v>0.47109284845371896</v>
      </c>
      <c r="J51" s="435">
        <f t="shared" si="4"/>
        <v>0.5289071515462811</v>
      </c>
      <c r="K51" s="13"/>
      <c r="L51" s="4"/>
    </row>
    <row r="52" spans="1:12" ht="18" thickBot="1">
      <c r="A52" s="111" t="str">
        <f t="shared" si="5"/>
        <v>WEC Energy Group</v>
      </c>
      <c r="B52" s="100" t="str">
        <f t="shared" si="5"/>
        <v>WEC</v>
      </c>
      <c r="C52" s="38" t="str">
        <f t="shared" si="5"/>
        <v>Electric Utility - Central</v>
      </c>
      <c r="D52" s="439">
        <f t="shared" si="6"/>
        <v>26550124474.27</v>
      </c>
      <c r="E52" s="313">
        <f t="shared" si="7"/>
        <v>30400000</v>
      </c>
      <c r="F52" s="439">
        <v>38800000</v>
      </c>
      <c r="G52" s="439">
        <f>J32*(15564.3/16631.1)</f>
        <v>15700841261.251511</v>
      </c>
      <c r="H52" s="308">
        <f t="shared" si="3"/>
        <v>42320165735.521515</v>
      </c>
      <c r="I52" s="436">
        <f t="shared" si="2"/>
        <v>0.6273634333143715</v>
      </c>
      <c r="J52" s="436">
        <f>(+E52+F52+G52)/H52</f>
        <v>0.37263656668562845</v>
      </c>
      <c r="K52" s="13"/>
      <c r="L52" s="4"/>
    </row>
    <row r="53" spans="1:12" ht="17.5">
      <c r="A53" s="13"/>
      <c r="B53" s="13"/>
      <c r="C53" s="13"/>
      <c r="D53" s="13"/>
      <c r="E53" s="13"/>
      <c r="F53" s="13"/>
      <c r="G53" s="13"/>
      <c r="H53" s="123" t="s">
        <v>56</v>
      </c>
      <c r="I53" s="127">
        <f>MAX(I42:I52)</f>
        <v>0.71425016529998175</v>
      </c>
      <c r="J53" s="127">
        <f>MAX(J42:J52)</f>
        <v>0.8952751347236898</v>
      </c>
      <c r="K53" s="13"/>
    </row>
    <row r="54" spans="1:12" ht="17.5">
      <c r="F54" s="460"/>
      <c r="G54" s="13"/>
      <c r="H54" s="314" t="s">
        <v>57</v>
      </c>
      <c r="I54" s="315">
        <f>MIN(I42:I52)</f>
        <v>0.1047248652763102</v>
      </c>
      <c r="J54" s="315">
        <f>MIN(J42:J52)</f>
        <v>0.28574983470001813</v>
      </c>
      <c r="K54" s="13"/>
    </row>
    <row r="55" spans="1:12" ht="17.5">
      <c r="F55" t="s">
        <v>0</v>
      </c>
      <c r="H55" s="15" t="s">
        <v>18</v>
      </c>
      <c r="I55" s="125">
        <f>MEDIAN(I42:I52)</f>
        <v>0.51511575455817449</v>
      </c>
      <c r="J55" s="126">
        <f>MEDIAN(J42:J52)</f>
        <v>0.48488424544182551</v>
      </c>
      <c r="K55" s="13"/>
    </row>
    <row r="56" spans="1:12" ht="17.5">
      <c r="D56" t="s">
        <v>0</v>
      </c>
      <c r="G56" s="13" t="s">
        <v>0</v>
      </c>
      <c r="H56" s="15" t="s">
        <v>448</v>
      </c>
      <c r="I56" s="125">
        <f>AVERAGE(I42:I52)</f>
        <v>0.50155757189359662</v>
      </c>
      <c r="J56" s="126">
        <f>AVERAGE(J42:J52)</f>
        <v>0.49844242810640343</v>
      </c>
      <c r="K56" s="13"/>
    </row>
    <row r="57" spans="1:12" ht="18" thickBot="1">
      <c r="D57" t="s">
        <v>0</v>
      </c>
      <c r="F57" t="s">
        <v>0</v>
      </c>
      <c r="G57" s="13"/>
      <c r="H57" s="13"/>
      <c r="I57" s="65"/>
      <c r="J57" s="65"/>
      <c r="K57" s="13"/>
    </row>
    <row r="58" spans="1:12" ht="26" thickBot="1">
      <c r="F58" t="s">
        <v>0</v>
      </c>
      <c r="G58" s="13"/>
      <c r="H58" s="211" t="s">
        <v>233</v>
      </c>
      <c r="I58" s="407">
        <v>0.5</v>
      </c>
      <c r="J58" s="408">
        <v>0.5</v>
      </c>
      <c r="K58" s="13"/>
    </row>
    <row r="59" spans="1:12" ht="17.5">
      <c r="E59" s="124"/>
      <c r="F59" s="13"/>
      <c r="G59" s="13"/>
      <c r="H59" s="13"/>
      <c r="I59" s="65"/>
      <c r="J59" s="65" t="s">
        <v>0</v>
      </c>
      <c r="K59" s="13"/>
    </row>
    <row r="60" spans="1:12" ht="17">
      <c r="E60" s="124"/>
      <c r="F60" s="13"/>
      <c r="G60" s="13"/>
      <c r="H60" s="13"/>
      <c r="I60" s="13"/>
      <c r="J60" s="13"/>
      <c r="K60" s="13"/>
    </row>
    <row r="61" spans="1:12" ht="17">
      <c r="E61" s="124"/>
      <c r="F61" s="13"/>
      <c r="G61" s="13"/>
      <c r="H61" s="13"/>
      <c r="I61" s="13"/>
      <c r="J61" s="13"/>
      <c r="K61" s="13"/>
    </row>
    <row r="62" spans="1:12" ht="26">
      <c r="A62" s="24" t="s">
        <v>90</v>
      </c>
      <c r="B62" s="13"/>
      <c r="C62" s="77"/>
      <c r="D62" s="128"/>
      <c r="E62" s="124"/>
      <c r="F62" s="13"/>
      <c r="G62" s="13"/>
      <c r="I62" s="13"/>
      <c r="J62" s="13"/>
      <c r="K62" s="13"/>
    </row>
    <row r="63" spans="1:12" ht="17">
      <c r="A63" s="88" t="s">
        <v>72</v>
      </c>
      <c r="B63" s="13"/>
      <c r="C63" s="77"/>
      <c r="D63" s="128"/>
      <c r="E63" s="124"/>
      <c r="F63" s="13"/>
      <c r="G63" s="13"/>
      <c r="I63" s="13"/>
      <c r="J63" s="13"/>
      <c r="K63" s="13"/>
    </row>
    <row r="64" spans="1:12" ht="17">
      <c r="A64" s="13" t="s">
        <v>175</v>
      </c>
      <c r="H64" s="124"/>
    </row>
    <row r="65" spans="1:8" ht="17">
      <c r="A65" s="13" t="s">
        <v>173</v>
      </c>
      <c r="H65" s="124"/>
    </row>
    <row r="66" spans="1:8" ht="17">
      <c r="A66" s="13" t="s">
        <v>174</v>
      </c>
      <c r="H66" s="124"/>
    </row>
    <row r="67" spans="1:8" ht="17">
      <c r="A67" s="13" t="s">
        <v>337</v>
      </c>
      <c r="H67" s="124"/>
    </row>
    <row r="68" spans="1:8" ht="17">
      <c r="H68" s="124"/>
    </row>
    <row r="69" spans="1:8" ht="17">
      <c r="H69" s="124"/>
    </row>
    <row r="70" spans="1:8" ht="26">
      <c r="A70" s="339" t="s">
        <v>338</v>
      </c>
      <c r="H70" s="124"/>
    </row>
    <row r="71" spans="1:8" ht="17">
      <c r="A71" s="340" t="s">
        <v>422</v>
      </c>
      <c r="B71" s="341"/>
      <c r="C71" s="341"/>
      <c r="D71" s="329"/>
      <c r="E71" s="329"/>
      <c r="H71" s="124"/>
    </row>
    <row r="72" spans="1:8" ht="17">
      <c r="A72" s="340" t="s">
        <v>423</v>
      </c>
      <c r="B72" s="329"/>
      <c r="C72" s="329"/>
      <c r="D72" s="329"/>
      <c r="E72" s="329"/>
      <c r="H72" s="124"/>
    </row>
    <row r="73" spans="1:8" ht="17.5">
      <c r="A73" s="311" t="s">
        <v>393</v>
      </c>
      <c r="B73" s="329"/>
      <c r="C73" s="329"/>
      <c r="D73" s="329"/>
      <c r="E73" s="329"/>
      <c r="H73" s="124"/>
    </row>
    <row r="74" spans="1:8" ht="17">
      <c r="A74" s="340" t="s">
        <v>424</v>
      </c>
      <c r="B74" s="329"/>
      <c r="C74" s="329"/>
      <c r="D74" s="329"/>
      <c r="E74" s="329"/>
      <c r="H74" s="124"/>
    </row>
    <row r="75" spans="1:8" ht="17">
      <c r="A75" s="132" t="s">
        <v>425</v>
      </c>
      <c r="B75" s="329"/>
      <c r="C75" s="329"/>
      <c r="D75" s="329"/>
      <c r="E75" s="329"/>
      <c r="H75" s="124"/>
    </row>
    <row r="76" spans="1:8" ht="17">
      <c r="A76" s="13"/>
      <c r="H76" s="124"/>
    </row>
    <row r="77" spans="1:8" ht="26">
      <c r="A77" s="339" t="s">
        <v>426</v>
      </c>
      <c r="H77" s="124"/>
    </row>
    <row r="78" spans="1:8" ht="17">
      <c r="A78" s="352" t="s">
        <v>427</v>
      </c>
      <c r="H78" s="124"/>
    </row>
    <row r="79" spans="1:8" ht="17">
      <c r="A79" s="352" t="s">
        <v>428</v>
      </c>
      <c r="H79" s="124"/>
    </row>
    <row r="80" spans="1:8" ht="17">
      <c r="A80" s="340" t="s">
        <v>429</v>
      </c>
      <c r="H80" s="124"/>
    </row>
    <row r="81" spans="1:8" ht="17">
      <c r="A81" s="340" t="s">
        <v>430</v>
      </c>
      <c r="H81" s="124"/>
    </row>
    <row r="82" spans="1:8" ht="17">
      <c r="A82" s="132" t="s">
        <v>431</v>
      </c>
      <c r="H82" s="460"/>
    </row>
    <row r="83" spans="1:8" ht="26">
      <c r="A83" s="342"/>
    </row>
    <row r="84" spans="1:8" ht="26">
      <c r="A84" s="339" t="s">
        <v>432</v>
      </c>
    </row>
    <row r="85" spans="1:8" ht="17">
      <c r="A85" s="343" t="s">
        <v>433</v>
      </c>
      <c r="B85" s="341"/>
      <c r="C85" s="341"/>
      <c r="D85" s="329"/>
      <c r="E85" s="329"/>
    </row>
  </sheetData>
  <pageMargins left="0.25" right="0.25" top="0.75" bottom="0.75" header="0.3" footer="0.3"/>
  <pageSetup scale="32" orientation="landscape" r:id="rId1"/>
  <rowBreaks count="1" manualBreakCount="1">
    <brk id="58" max="11" man="1"/>
  </rowBreaks>
  <colBreaks count="1" manualBreakCount="1">
    <brk id="11" max="88" man="1"/>
  </colBreaks>
  <ignoredErrors>
    <ignoredError sqref="E43"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68"/>
  <sheetViews>
    <sheetView view="pageBreakPreview" topLeftCell="A7" zoomScale="70" zoomScaleNormal="80" zoomScaleSheetLayoutView="70" zoomScalePageLayoutView="70" workbookViewId="0">
      <pane xSplit="1" topLeftCell="B1" activePane="topRight" state="frozen"/>
      <selection activeCell="F4" sqref="F4"/>
      <selection pane="topRight" activeCell="E54" sqref="E54"/>
    </sheetView>
  </sheetViews>
  <sheetFormatPr defaultRowHeight="14.5"/>
  <cols>
    <col min="1" max="1" width="62.453125" customWidth="1"/>
    <col min="2" max="2" width="11.54296875" bestFit="1" customWidth="1"/>
    <col min="3" max="3" width="26.26953125"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5" t="s">
        <v>1</v>
      </c>
      <c r="B1" s="13"/>
      <c r="C1" s="13"/>
      <c r="D1" s="13"/>
      <c r="E1" s="13"/>
      <c r="F1" s="13"/>
      <c r="G1" s="13"/>
      <c r="H1" s="13"/>
    </row>
    <row r="2" spans="1:9" ht="17.5">
      <c r="A2" s="26" t="s">
        <v>9</v>
      </c>
      <c r="B2" s="13"/>
      <c r="C2" s="13"/>
      <c r="D2" s="13"/>
      <c r="E2" s="13"/>
      <c r="F2" s="13"/>
      <c r="G2" s="13"/>
      <c r="H2" s="13"/>
    </row>
    <row r="3" spans="1:9" ht="17">
      <c r="A3" s="27" t="s">
        <v>487</v>
      </c>
      <c r="B3" s="13"/>
      <c r="C3" s="13"/>
      <c r="D3" s="13"/>
      <c r="E3" s="13"/>
      <c r="F3" s="13"/>
      <c r="G3" s="13"/>
      <c r="H3" s="13"/>
    </row>
    <row r="4" spans="1:9" ht="17">
      <c r="A4" s="27"/>
      <c r="B4" s="13"/>
      <c r="C4" s="13"/>
      <c r="D4" s="13"/>
      <c r="E4" s="13"/>
      <c r="F4" s="209" t="s">
        <v>0</v>
      </c>
      <c r="G4" s="13"/>
      <c r="H4" s="13"/>
    </row>
    <row r="5" spans="1:9" ht="17">
      <c r="B5" s="13"/>
      <c r="C5" s="13"/>
      <c r="D5" s="13"/>
      <c r="E5" s="28"/>
      <c r="F5" s="209" t="s">
        <v>0</v>
      </c>
      <c r="G5" s="13"/>
      <c r="H5" s="13" t="s">
        <v>0</v>
      </c>
    </row>
    <row r="6" spans="1:9" ht="17">
      <c r="A6" s="88"/>
      <c r="B6" s="36"/>
      <c r="C6" s="36"/>
      <c r="D6" s="36"/>
      <c r="E6" s="36"/>
      <c r="F6" s="36"/>
      <c r="G6" s="15"/>
      <c r="H6" s="87"/>
      <c r="I6" s="3"/>
    </row>
    <row r="7" spans="1:9" ht="17">
      <c r="A7" s="45"/>
      <c r="B7" s="45"/>
      <c r="C7" s="45"/>
      <c r="D7" s="45"/>
      <c r="E7" s="45"/>
      <c r="F7" s="45"/>
      <c r="G7" s="45"/>
      <c r="H7" s="45"/>
      <c r="I7" s="2"/>
    </row>
    <row r="8" spans="1:9" ht="17.5" thickBot="1">
      <c r="A8" s="45"/>
      <c r="B8" s="45"/>
      <c r="C8" s="45"/>
      <c r="D8" s="89"/>
      <c r="E8" s="30"/>
      <c r="F8" s="89"/>
      <c r="H8" s="45"/>
      <c r="I8" s="2"/>
    </row>
    <row r="9" spans="1:9" ht="26" thickBot="1">
      <c r="A9" s="29" t="str">
        <f>+'S&amp;D'!A12</f>
        <v>Natural Gas Utility Distribution</v>
      </c>
      <c r="B9" s="45"/>
      <c r="C9" s="45"/>
      <c r="D9" s="45"/>
      <c r="E9" s="33" t="s">
        <v>328</v>
      </c>
      <c r="F9" s="45"/>
      <c r="H9" s="13"/>
    </row>
    <row r="10" spans="1:9" ht="21.5" thickBot="1">
      <c r="A10" s="32"/>
      <c r="B10" s="45"/>
      <c r="C10" s="45"/>
      <c r="D10" s="89"/>
      <c r="E10" s="38" t="s">
        <v>488</v>
      </c>
      <c r="F10" s="89"/>
      <c r="H10" s="13"/>
    </row>
    <row r="11" spans="1:9" ht="21">
      <c r="A11" s="32"/>
      <c r="B11" s="45"/>
      <c r="C11" s="45"/>
      <c r="D11" s="45"/>
      <c r="E11" s="36"/>
      <c r="F11" s="45"/>
      <c r="H11" s="13"/>
    </row>
    <row r="12" spans="1:9" ht="21">
      <c r="A12" s="32"/>
      <c r="B12" s="45"/>
      <c r="C12" s="45"/>
      <c r="D12" s="45"/>
      <c r="E12" s="36"/>
      <c r="F12" s="45"/>
      <c r="H12" s="13"/>
    </row>
    <row r="13" spans="1:9" ht="21">
      <c r="A13" s="32"/>
      <c r="B13" s="45"/>
      <c r="C13" s="45"/>
      <c r="D13" s="45"/>
      <c r="E13" s="36"/>
      <c r="F13" s="45"/>
      <c r="H13" s="13"/>
    </row>
    <row r="14" spans="1:9" ht="21">
      <c r="A14" s="32"/>
      <c r="B14" s="45"/>
      <c r="C14" s="45"/>
      <c r="D14" s="45"/>
      <c r="E14" s="14" t="s">
        <v>0</v>
      </c>
      <c r="F14" s="45"/>
      <c r="H14" s="13"/>
    </row>
    <row r="15" spans="1:9" ht="17.5" thickBot="1">
      <c r="A15" s="43" t="s">
        <v>0</v>
      </c>
      <c r="B15" s="43" t="s">
        <v>0</v>
      </c>
      <c r="C15" s="43" t="s">
        <v>0</v>
      </c>
      <c r="D15" s="43"/>
      <c r="E15" s="43"/>
      <c r="F15" s="43"/>
      <c r="H15" s="13"/>
    </row>
    <row r="16" spans="1:9" ht="17.5">
      <c r="A16" s="90"/>
      <c r="B16" s="91"/>
      <c r="C16" s="92"/>
      <c r="D16" s="246" t="s">
        <v>0</v>
      </c>
      <c r="E16" s="247" t="s">
        <v>0</v>
      </c>
      <c r="F16" s="246" t="s">
        <v>0</v>
      </c>
      <c r="H16" s="13"/>
    </row>
    <row r="17" spans="1:10" ht="17.5">
      <c r="A17" s="90" t="s">
        <v>0</v>
      </c>
      <c r="B17" s="91" t="s">
        <v>3</v>
      </c>
      <c r="C17" s="92" t="s">
        <v>5</v>
      </c>
      <c r="D17" s="93" t="s">
        <v>318</v>
      </c>
      <c r="E17" s="248" t="s">
        <v>79</v>
      </c>
      <c r="F17" s="93" t="s">
        <v>320</v>
      </c>
      <c r="H17" s="13"/>
    </row>
    <row r="18" spans="1:10" ht="17.5">
      <c r="A18" s="90"/>
      <c r="B18" s="91" t="s">
        <v>4</v>
      </c>
      <c r="C18" s="92" t="s">
        <v>6</v>
      </c>
      <c r="D18" s="93" t="s">
        <v>329</v>
      </c>
      <c r="E18" s="248" t="s">
        <v>329</v>
      </c>
      <c r="F18" s="93" t="s">
        <v>149</v>
      </c>
      <c r="H18" s="13"/>
    </row>
    <row r="19" spans="1:10" ht="18" thickBot="1">
      <c r="A19" s="99" t="s">
        <v>2</v>
      </c>
      <c r="B19" s="100" t="s">
        <v>0</v>
      </c>
      <c r="C19" s="101" t="s">
        <v>0</v>
      </c>
      <c r="D19" s="100" t="s">
        <v>0</v>
      </c>
      <c r="E19" s="120" t="s">
        <v>0</v>
      </c>
      <c r="F19" s="100" t="s">
        <v>0</v>
      </c>
      <c r="H19" s="13"/>
    </row>
    <row r="20" spans="1:10" ht="17">
      <c r="A20" s="279" t="s">
        <v>7</v>
      </c>
      <c r="B20" s="280" t="s">
        <v>7</v>
      </c>
      <c r="C20" s="281" t="s">
        <v>7</v>
      </c>
      <c r="D20" s="280" t="s">
        <v>7</v>
      </c>
      <c r="E20" s="121" t="s">
        <v>319</v>
      </c>
      <c r="F20" s="105"/>
      <c r="H20" s="13"/>
    </row>
    <row r="21" spans="1:10" ht="17.5">
      <c r="A21" s="90"/>
      <c r="B21" s="91"/>
      <c r="C21" s="249"/>
      <c r="D21" s="91"/>
      <c r="E21" s="249"/>
      <c r="F21" s="91"/>
      <c r="H21" s="13"/>
    </row>
    <row r="22" spans="1:10" ht="17.5">
      <c r="A22" s="107" t="str">
        <f>+'S&amp;D'!A22</f>
        <v>Atmos Energy Corp</v>
      </c>
      <c r="B22" s="90" t="str">
        <f>+'S&amp;D'!B22</f>
        <v>ATO</v>
      </c>
      <c r="C22" s="91" t="str">
        <f>+'S&amp;D'!C22</f>
        <v>Gas Utility</v>
      </c>
      <c r="D22" s="263">
        <f>+'S&amp;D'!D42</f>
        <v>17481706612.299999</v>
      </c>
      <c r="E22" s="265">
        <v>11273209000</v>
      </c>
      <c r="F22" s="109">
        <f t="shared" ref="F22:F32" si="0">+D22/E22</f>
        <v>1.5507302856090044</v>
      </c>
      <c r="H22" s="13"/>
    </row>
    <row r="23" spans="1:10" ht="17.5">
      <c r="A23" s="107" t="str">
        <f>+'S&amp;D'!A23</f>
        <v>Black Hills Corporation</v>
      </c>
      <c r="B23" s="90" t="str">
        <f>+'S&amp;D'!B23</f>
        <v>BKH</v>
      </c>
      <c r="C23" s="91" t="str">
        <f>+'S&amp;D'!C23</f>
        <v>Electric Utility - West</v>
      </c>
      <c r="D23" s="263">
        <f>+'S&amp;D'!D43</f>
        <v>3679226477.5500002</v>
      </c>
      <c r="E23" s="265">
        <v>3215300000</v>
      </c>
      <c r="F23" s="109">
        <f t="shared" si="0"/>
        <v>1.144287151292259</v>
      </c>
      <c r="H23" s="13"/>
    </row>
    <row r="24" spans="1:10" ht="17.5">
      <c r="A24" s="107" t="str">
        <f>+'S&amp;D'!A24</f>
        <v>CenterPoint Energy Inc.</v>
      </c>
      <c r="B24" s="90" t="str">
        <f>+'S&amp;D'!B24</f>
        <v>CNP</v>
      </c>
      <c r="C24" s="91" t="str">
        <f>+'S&amp;D'!C24</f>
        <v>Electric Utility - Central</v>
      </c>
      <c r="D24" s="263">
        <f>+'S&amp;D'!D44</f>
        <v>18034121934.529999</v>
      </c>
      <c r="E24" s="265">
        <v>10763000000</v>
      </c>
      <c r="F24" s="109">
        <f t="shared" si="0"/>
        <v>1.6755664716649632</v>
      </c>
      <c r="G24" t="s">
        <v>0</v>
      </c>
      <c r="H24" s="13"/>
    </row>
    <row r="25" spans="1:10" ht="17.5">
      <c r="A25" s="107" t="str">
        <f>+'S&amp;D'!A25</f>
        <v>CMS Energy Corporation</v>
      </c>
      <c r="B25" s="90" t="str">
        <f>+'S&amp;D'!B25</f>
        <v>CMS</v>
      </c>
      <c r="C25" s="91" t="str">
        <f>+'S&amp;D'!C25</f>
        <v>Electric Utility - Central</v>
      </c>
      <c r="D25" s="263">
        <f>+'S&amp;D'!D45</f>
        <v>1709813080</v>
      </c>
      <c r="E25" s="265">
        <v>7320000000</v>
      </c>
      <c r="F25" s="109">
        <f t="shared" si="0"/>
        <v>0.23358102185792351</v>
      </c>
      <c r="H25" s="13"/>
    </row>
    <row r="26" spans="1:10" ht="17.5">
      <c r="A26" s="107" t="str">
        <f>+'S&amp;D'!A26</f>
        <v>New Jersey Resources Corp</v>
      </c>
      <c r="B26" s="90" t="str">
        <f>+'S&amp;D'!B26</f>
        <v>NJR</v>
      </c>
      <c r="C26" s="91" t="str">
        <f>+'S&amp;D'!C26</f>
        <v>Gas Utility</v>
      </c>
      <c r="D26" s="263">
        <f>+'S&amp;D'!D46</f>
        <v>4377156176.0999994</v>
      </c>
      <c r="E26" s="265">
        <v>2066201000</v>
      </c>
      <c r="F26" s="109">
        <f t="shared" si="0"/>
        <v>2.1184561308894923</v>
      </c>
      <c r="H26" s="13"/>
      <c r="J26" s="10" t="s">
        <v>0</v>
      </c>
    </row>
    <row r="27" spans="1:10" ht="17.5">
      <c r="A27" s="107" t="str">
        <f>+'S&amp;D'!A27</f>
        <v>NISOURCE Inc.</v>
      </c>
      <c r="B27" s="90" t="str">
        <f>+'S&amp;D'!B27</f>
        <v>NI</v>
      </c>
      <c r="C27" s="91" t="str">
        <f>+'S&amp;D'!C27</f>
        <v>Gas Utility</v>
      </c>
      <c r="D27" s="263">
        <f>+'S&amp;D'!D47</f>
        <v>11877983365.050001</v>
      </c>
      <c r="E27" s="265">
        <v>8269600000</v>
      </c>
      <c r="F27" s="109">
        <f t="shared" si="0"/>
        <v>1.4363431562651157</v>
      </c>
      <c r="H27" s="13"/>
    </row>
    <row r="28" spans="1:10" ht="17.5">
      <c r="A28" s="107" t="str">
        <f>+'S&amp;D'!A28</f>
        <v xml:space="preserve">Northwest Natural Holding Company </v>
      </c>
      <c r="B28" s="90" t="str">
        <f>+'S&amp;D'!B28</f>
        <v>NWN</v>
      </c>
      <c r="C28" s="91" t="str">
        <f>+'S&amp;D'!C28</f>
        <v>Gas Utility</v>
      </c>
      <c r="D28" s="263">
        <f>+'S&amp;D'!D48</f>
        <v>1465359395.28</v>
      </c>
      <c r="E28" s="265">
        <v>1283838000</v>
      </c>
      <c r="F28" s="109">
        <f t="shared" si="0"/>
        <v>1.1413896420576428</v>
      </c>
      <c r="G28" s="360" t="s">
        <v>0</v>
      </c>
      <c r="H28" s="13"/>
    </row>
    <row r="29" spans="1:10" ht="17.5">
      <c r="A29" s="107" t="str">
        <f>+'S&amp;D'!A29</f>
        <v>One Gas INC</v>
      </c>
      <c r="B29" s="90" t="str">
        <f>+'S&amp;D'!B29</f>
        <v>OGS</v>
      </c>
      <c r="C29" s="91" t="str">
        <f>+'S&amp;D'!C29</f>
        <v>Gas Utility</v>
      </c>
      <c r="D29" s="263">
        <f>+'S&amp;D'!D49</f>
        <v>3603106277.2799997</v>
      </c>
      <c r="E29" s="265">
        <v>2765877000</v>
      </c>
      <c r="F29" s="109">
        <f t="shared" si="0"/>
        <v>1.3026993887580682</v>
      </c>
      <c r="H29" s="13"/>
    </row>
    <row r="30" spans="1:10" ht="17.5">
      <c r="A30" s="107" t="str">
        <f>+'S&amp;D'!A30</f>
        <v>Southwest Gas Holdings, Inc</v>
      </c>
      <c r="B30" s="90" t="str">
        <f>+'S&amp;D'!B30</f>
        <v>SWX</v>
      </c>
      <c r="C30" s="91" t="str">
        <f>+'S&amp;D'!C30</f>
        <v>Gas Utility</v>
      </c>
      <c r="D30" s="263">
        <f>+'S&amp;D'!D50</f>
        <v>4533563562.5</v>
      </c>
      <c r="E30" s="265">
        <v>3183615000</v>
      </c>
      <c r="F30" s="109">
        <f t="shared" si="0"/>
        <v>1.4240300923635554</v>
      </c>
      <c r="G30" t="s">
        <v>0</v>
      </c>
      <c r="H30" s="13"/>
    </row>
    <row r="31" spans="1:10" ht="17.5">
      <c r="A31" s="107" t="str">
        <f>+'S&amp;D'!A31</f>
        <v>Spire Inc / Laclede Group Inc</v>
      </c>
      <c r="B31" s="90" t="str">
        <f>+'S&amp;D'!B31</f>
        <v>SR</v>
      </c>
      <c r="C31" s="91" t="str">
        <f>+'S&amp;D'!C31</f>
        <v>Gas Utility</v>
      </c>
      <c r="D31" s="263">
        <f>+'S&amp;D'!D51</f>
        <v>3316488000</v>
      </c>
      <c r="E31" s="265">
        <v>924100000</v>
      </c>
      <c r="F31" s="109">
        <f t="shared" si="0"/>
        <v>3.588884319878801</v>
      </c>
      <c r="H31" s="13"/>
    </row>
    <row r="32" spans="1:10" ht="18" thickBot="1">
      <c r="A32" s="111" t="str">
        <f>+'S&amp;D'!A32</f>
        <v>WEC Energy Group</v>
      </c>
      <c r="B32" s="99" t="str">
        <f>+'S&amp;D'!B32</f>
        <v>WEC</v>
      </c>
      <c r="C32" s="100" t="str">
        <f>+'S&amp;D'!C32</f>
        <v>Electric Utility - Central</v>
      </c>
      <c r="D32" s="264">
        <f>+'S&amp;D'!D52</f>
        <v>26550124474.27</v>
      </c>
      <c r="E32" s="265">
        <v>11724200000</v>
      </c>
      <c r="F32" s="109">
        <f t="shared" si="0"/>
        <v>2.2645574516188738</v>
      </c>
      <c r="H32" s="13"/>
    </row>
    <row r="33" spans="1:8" ht="27" customHeight="1" thickBot="1">
      <c r="A33" s="113"/>
      <c r="B33" s="113"/>
      <c r="C33" s="113"/>
      <c r="D33" s="113"/>
      <c r="E33" s="277" t="s">
        <v>327</v>
      </c>
      <c r="F33" s="381">
        <f>AVERAGE(F22:F32)</f>
        <v>1.625502282932336</v>
      </c>
      <c r="H33" s="13"/>
    </row>
    <row r="34" spans="1:8" ht="17.5">
      <c r="A34" s="113"/>
      <c r="B34" s="113"/>
      <c r="C34" s="113"/>
      <c r="D34" s="113"/>
      <c r="E34" s="258"/>
      <c r="F34" s="259"/>
      <c r="H34" s="13"/>
    </row>
    <row r="35" spans="1:8" ht="17.5">
      <c r="A35" s="113"/>
      <c r="B35" s="113"/>
      <c r="C35" s="113"/>
      <c r="D35" s="113"/>
      <c r="E35" s="258"/>
      <c r="F35" s="259"/>
      <c r="H35" s="13"/>
    </row>
    <row r="36" spans="1:8" ht="17.5">
      <c r="A36" s="113"/>
      <c r="B36" s="113"/>
      <c r="C36" s="113"/>
      <c r="D36" s="113"/>
      <c r="E36" s="258"/>
      <c r="F36" s="259"/>
      <c r="H36" s="13"/>
    </row>
    <row r="37" spans="1:8" ht="18" thickBot="1">
      <c r="A37" s="113"/>
      <c r="B37" s="113"/>
      <c r="C37" s="113"/>
      <c r="D37" s="113"/>
      <c r="E37" s="113"/>
      <c r="F37" s="113"/>
      <c r="H37" s="13"/>
    </row>
    <row r="38" spans="1:8" ht="17.5">
      <c r="A38" s="260"/>
      <c r="B38" s="261"/>
      <c r="C38" s="262"/>
      <c r="D38" s="246" t="s">
        <v>0</v>
      </c>
      <c r="E38" s="247" t="s">
        <v>0</v>
      </c>
      <c r="F38" s="246" t="s">
        <v>0</v>
      </c>
      <c r="H38" s="13"/>
    </row>
    <row r="39" spans="1:8" ht="17.5">
      <c r="A39" s="90" t="s">
        <v>0</v>
      </c>
      <c r="B39" s="91" t="s">
        <v>3</v>
      </c>
      <c r="C39" s="92" t="s">
        <v>5</v>
      </c>
      <c r="D39" s="93" t="s">
        <v>318</v>
      </c>
      <c r="E39" s="248" t="s">
        <v>79</v>
      </c>
      <c r="F39" s="93" t="s">
        <v>320</v>
      </c>
      <c r="H39" s="13"/>
    </row>
    <row r="40" spans="1:8" ht="17.5">
      <c r="A40" s="90"/>
      <c r="B40" s="91" t="s">
        <v>4</v>
      </c>
      <c r="C40" s="92" t="s">
        <v>6</v>
      </c>
      <c r="D40" s="93" t="s">
        <v>321</v>
      </c>
      <c r="E40" s="248" t="s">
        <v>321</v>
      </c>
      <c r="F40" s="93" t="s">
        <v>149</v>
      </c>
    </row>
    <row r="41" spans="1:8" ht="18" thickBot="1">
      <c r="A41" s="99" t="s">
        <v>2</v>
      </c>
      <c r="B41" s="100" t="s">
        <v>0</v>
      </c>
      <c r="C41" s="101" t="s">
        <v>0</v>
      </c>
      <c r="D41" s="100" t="s">
        <v>0</v>
      </c>
      <c r="E41" s="120" t="s">
        <v>0</v>
      </c>
      <c r="F41" s="100" t="s">
        <v>0</v>
      </c>
    </row>
    <row r="42" spans="1:8" ht="16">
      <c r="A42" s="279" t="s">
        <v>7</v>
      </c>
      <c r="B42" s="280" t="s">
        <v>7</v>
      </c>
      <c r="C42" s="338" t="s">
        <v>7</v>
      </c>
      <c r="D42" s="280" t="s">
        <v>319</v>
      </c>
      <c r="E42" s="121" t="s">
        <v>319</v>
      </c>
      <c r="F42" s="105"/>
    </row>
    <row r="43" spans="1:8" ht="17.5">
      <c r="A43" s="90"/>
      <c r="B43" s="91"/>
      <c r="C43" s="92"/>
      <c r="D43" s="91"/>
      <c r="E43" s="249"/>
      <c r="F43" s="91"/>
    </row>
    <row r="44" spans="1:8" ht="17.5">
      <c r="A44" s="107" t="str">
        <f>+'S&amp;D'!A22</f>
        <v>Atmos Energy Corp</v>
      </c>
      <c r="B44" s="90" t="str">
        <f>+'S&amp;D'!B22</f>
        <v>ATO</v>
      </c>
      <c r="C44" s="90" t="str">
        <f>+'S&amp;D'!C22</f>
        <v>Gas Utility</v>
      </c>
      <c r="D44" s="263">
        <f>+'S&amp;D'!G42</f>
        <v>6949810761.1442356</v>
      </c>
      <c r="E44" s="265">
        <f>+'S&amp;D'!J22</f>
        <v>7445756000</v>
      </c>
      <c r="F44" s="109">
        <f>+D44/E44</f>
        <v>0.93339222520107235</v>
      </c>
    </row>
    <row r="45" spans="1:8" ht="17.5">
      <c r="A45" s="107" t="str">
        <f>+'S&amp;D'!A23</f>
        <v>Black Hills Corporation</v>
      </c>
      <c r="B45" s="90" t="str">
        <f>+'S&amp;D'!B23</f>
        <v>BKH</v>
      </c>
      <c r="C45" s="90" t="str">
        <f>+'S&amp;D'!C23</f>
        <v>Electric Utility - West</v>
      </c>
      <c r="D45" s="263">
        <f>+'S&amp;D'!G43</f>
        <v>4215600000.0000005</v>
      </c>
      <c r="E45" s="265">
        <f>+'S&amp;D'!J23</f>
        <v>4401200000</v>
      </c>
      <c r="F45" s="109">
        <f t="shared" ref="F45:F54" si="1">+D45/E45</f>
        <v>0.95782968281377812</v>
      </c>
    </row>
    <row r="46" spans="1:8" ht="17.5">
      <c r="A46" s="107" t="str">
        <f>+'S&amp;D'!A24</f>
        <v>CenterPoint Energy Inc.</v>
      </c>
      <c r="B46" s="90" t="str">
        <f>+'S&amp;D'!B24</f>
        <v>CNP</v>
      </c>
      <c r="C46" s="90" t="str">
        <f>+'S&amp;D'!C24</f>
        <v>Electric Utility - Central</v>
      </c>
      <c r="D46" s="263">
        <f>+'S&amp;D'!G44</f>
        <v>16969721532.591757</v>
      </c>
      <c r="E46" s="265">
        <f>+'S&amp;D'!J24</f>
        <v>17737000000</v>
      </c>
      <c r="F46" s="109">
        <f t="shared" si="1"/>
        <v>0.9567413617067011</v>
      </c>
    </row>
    <row r="47" spans="1:8" ht="17.5">
      <c r="A47" s="107" t="str">
        <f>+'S&amp;D'!A25</f>
        <v>CMS Energy Corporation</v>
      </c>
      <c r="B47" s="90" t="str">
        <f>+'S&amp;D'!B25</f>
        <v>CMS</v>
      </c>
      <c r="C47" s="90" t="str">
        <f>+'S&amp;D'!C25</f>
        <v>Electric Utility - Central</v>
      </c>
      <c r="D47" s="263">
        <f>+'S&amp;D'!G45</f>
        <v>14366902409.093845</v>
      </c>
      <c r="E47" s="265">
        <f>+'S&amp;D'!J25</f>
        <v>15550000000</v>
      </c>
      <c r="F47" s="109">
        <f t="shared" si="1"/>
        <v>0.92391655363947556</v>
      </c>
    </row>
    <row r="48" spans="1:8" ht="17.5">
      <c r="A48" s="107" t="str">
        <f>+'S&amp;D'!A26</f>
        <v>New Jersey Resources Corp</v>
      </c>
      <c r="B48" s="90" t="str">
        <f>+'S&amp;D'!B26</f>
        <v>NJR</v>
      </c>
      <c r="C48" s="90" t="str">
        <f>+'S&amp;D'!C26</f>
        <v>Gas Utility</v>
      </c>
      <c r="D48" s="263">
        <f>+'S&amp;D'!G46</f>
        <v>2618482259.2563248</v>
      </c>
      <c r="E48" s="265">
        <f>+'S&amp;D'!J26</f>
        <v>2958624000</v>
      </c>
      <c r="F48" s="109">
        <f t="shared" si="1"/>
        <v>0.88503380600452264</v>
      </c>
    </row>
    <row r="49" spans="1:6" ht="17.5">
      <c r="A49" s="107" t="str">
        <f>+'S&amp;D'!A27</f>
        <v>NISOURCE Inc.</v>
      </c>
      <c r="B49" s="90" t="str">
        <f>+'S&amp;D'!B27</f>
        <v>NI</v>
      </c>
      <c r="C49" s="90" t="str">
        <f>+'S&amp;D'!C27</f>
        <v>Gas Utility</v>
      </c>
      <c r="D49" s="263">
        <f>+'S&amp;D'!G47</f>
        <v>10370900000</v>
      </c>
      <c r="E49" s="265">
        <f>+'S&amp;D'!J27</f>
        <v>11079300000</v>
      </c>
      <c r="F49" s="109">
        <f t="shared" si="1"/>
        <v>0.93606094247831539</v>
      </c>
    </row>
    <row r="50" spans="1:6" ht="17.5">
      <c r="A50" s="107" t="str">
        <f>+'S&amp;D'!A28</f>
        <v xml:space="preserve">Northwest Natural Holding Company </v>
      </c>
      <c r="B50" s="90" t="str">
        <f>+'S&amp;D'!B28</f>
        <v>NWN</v>
      </c>
      <c r="C50" s="90" t="str">
        <f>+'S&amp;D'!C28</f>
        <v>Gas Utility</v>
      </c>
      <c r="D50" s="263">
        <f>+'S&amp;D'!G48</f>
        <v>1750111673.5740058</v>
      </c>
      <c r="E50" s="265">
        <f>+'S&amp;D'!J28</f>
        <v>1515215000</v>
      </c>
      <c r="F50" s="109">
        <f t="shared" si="1"/>
        <v>1.1550253089983968</v>
      </c>
    </row>
    <row r="51" spans="1:6" ht="17.5">
      <c r="A51" s="107" t="str">
        <f>+'S&amp;D'!A29</f>
        <v>One Gas INC</v>
      </c>
      <c r="B51" s="90" t="str">
        <f>+'S&amp;D'!B29</f>
        <v>OGS</v>
      </c>
      <c r="C51" s="90" t="str">
        <f>+'S&amp;D'!C29</f>
        <v>Gas Utility</v>
      </c>
      <c r="D51" s="263">
        <f>+'S&amp;D'!G49</f>
        <v>2800000000</v>
      </c>
      <c r="E51" s="265">
        <f>+'S&amp;D'!J29</f>
        <v>2933385000</v>
      </c>
      <c r="F51" s="109">
        <f t="shared" si="1"/>
        <v>0.95452864182505881</v>
      </c>
    </row>
    <row r="52" spans="1:6" ht="17.5">
      <c r="A52" s="107" t="str">
        <f>+'S&amp;D'!A30</f>
        <v>Southwest Gas Holdings, Inc</v>
      </c>
      <c r="B52" s="90" t="str">
        <f>+'S&amp;D'!B30</f>
        <v>SWX</v>
      </c>
      <c r="C52" s="90" t="str">
        <f>+'S&amp;D'!C30</f>
        <v>Gas Utility</v>
      </c>
      <c r="D52" s="263">
        <f>+'S&amp;D'!G50</f>
        <v>4804408268.5747309</v>
      </c>
      <c r="E52" s="265">
        <f>+'S&amp;D'!J30</f>
        <v>5035358000</v>
      </c>
      <c r="F52" s="109">
        <f t="shared" si="1"/>
        <v>0.95413439691373103</v>
      </c>
    </row>
    <row r="53" spans="1:6" ht="17.5">
      <c r="A53" s="107" t="str">
        <f>+'S&amp;D'!A31</f>
        <v>Spire Inc / Laclede Group Inc</v>
      </c>
      <c r="B53" s="90" t="str">
        <f>+'S&amp;D'!B31</f>
        <v>SR</v>
      </c>
      <c r="C53" s="90" t="str">
        <f>+'S&amp;D'!C31</f>
        <v>Gas Utility</v>
      </c>
      <c r="D53" s="263">
        <f>+'S&amp;D'!G51</f>
        <v>3481500000</v>
      </c>
      <c r="E53" s="265">
        <f>+'S&amp;D'!J31</f>
        <v>3704800000</v>
      </c>
      <c r="F53" s="109">
        <f t="shared" si="1"/>
        <v>0.93972684085510694</v>
      </c>
    </row>
    <row r="54" spans="1:6" ht="18" thickBot="1">
      <c r="A54" s="111" t="str">
        <f>+'S&amp;D'!A32</f>
        <v>WEC Energy Group</v>
      </c>
      <c r="B54" s="99" t="str">
        <f>+'S&amp;D'!B32</f>
        <v>WEC</v>
      </c>
      <c r="C54" s="99" t="str">
        <f>+'S&amp;D'!C32</f>
        <v>Electric Utility - Central</v>
      </c>
      <c r="D54" s="264">
        <f>+'S&amp;D'!G52</f>
        <v>15700841261.251511</v>
      </c>
      <c r="E54" s="265">
        <f>+'S&amp;D'!J32</f>
        <v>16777000000</v>
      </c>
      <c r="F54" s="109">
        <f t="shared" si="1"/>
        <v>0.93585511481501527</v>
      </c>
    </row>
    <row r="55" spans="1:6" ht="27.75" customHeight="1" thickBot="1">
      <c r="E55" s="277" t="s">
        <v>327</v>
      </c>
      <c r="F55" s="381">
        <f>AVERAGE(F44:F54)</f>
        <v>0.95747680684101577</v>
      </c>
    </row>
    <row r="60" spans="1:6">
      <c r="C60" s="250" t="s">
        <v>322</v>
      </c>
      <c r="D60" s="250" t="s">
        <v>323</v>
      </c>
      <c r="E60" s="250"/>
    </row>
    <row r="61" spans="1:6">
      <c r="A61" s="252"/>
      <c r="B61" s="252"/>
      <c r="C61" s="251" t="s">
        <v>36</v>
      </c>
      <c r="D61" s="251" t="s">
        <v>324</v>
      </c>
      <c r="E61" s="251" t="s">
        <v>325</v>
      </c>
    </row>
    <row r="62" spans="1:6" ht="17.5">
      <c r="A62" s="92" t="s">
        <v>40</v>
      </c>
      <c r="B62" s="143" t="s">
        <v>0</v>
      </c>
      <c r="C62" s="143">
        <f>+'Yield CapRate'!C23</f>
        <v>0.5</v>
      </c>
      <c r="D62" s="256">
        <f>+F33</f>
        <v>1.625502282932336</v>
      </c>
      <c r="E62" s="257">
        <f>+C62*D62</f>
        <v>0.812751141466168</v>
      </c>
      <c r="F62" s="144" t="s">
        <v>0</v>
      </c>
    </row>
    <row r="63" spans="1:6" ht="17.5">
      <c r="A63" s="253" t="s">
        <v>42</v>
      </c>
      <c r="B63" s="254" t="str">
        <f>'S&amp;D'!I39</f>
        <v xml:space="preserve"> </v>
      </c>
      <c r="C63" s="254">
        <f>+'Yield CapRate'!C25</f>
        <v>0.5</v>
      </c>
      <c r="D63" s="255">
        <f>+F55</f>
        <v>0.95747680684101577</v>
      </c>
      <c r="E63" s="255">
        <f>+C63*D63</f>
        <v>0.47873840342050789</v>
      </c>
      <c r="F63" s="144" t="s">
        <v>0</v>
      </c>
    </row>
    <row r="64" spans="1:6" ht="17.5">
      <c r="D64" s="123" t="s">
        <v>326</v>
      </c>
      <c r="E64" s="278">
        <f>+E62+E63</f>
        <v>1.2914895448866759</v>
      </c>
    </row>
    <row r="67" spans="1:1" ht="21">
      <c r="A67" s="32" t="s">
        <v>451</v>
      </c>
    </row>
    <row r="68" spans="1:1" ht="21">
      <c r="A68" s="32" t="s">
        <v>395</v>
      </c>
    </row>
  </sheetData>
  <pageMargins left="0.25" right="0.25" top="0.75" bottom="0.75" header="0.3" footer="0.3"/>
  <pageSetup scale="40" orientation="landscape" r:id="rId1"/>
  <rowBreaks count="1" manualBreakCount="1">
    <brk id="37"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80"/>
  <sheetViews>
    <sheetView view="pageBreakPreview" topLeftCell="A13" zoomScale="70" zoomScaleNormal="80" zoomScaleSheetLayoutView="70" workbookViewId="0">
      <selection activeCell="L38" sqref="L38"/>
    </sheetView>
  </sheetViews>
  <sheetFormatPr defaultRowHeight="14.5"/>
  <cols>
    <col min="1" max="1" width="45.1796875" customWidth="1"/>
    <col min="2" max="2" width="15.26953125" customWidth="1"/>
    <col min="3" max="3" width="10.7265625" customWidth="1"/>
    <col min="4" max="4" width="21.726562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5" t="s">
        <v>1</v>
      </c>
      <c r="B1" s="13"/>
      <c r="C1" s="13"/>
      <c r="D1" s="13"/>
      <c r="E1" s="13"/>
      <c r="F1" s="13"/>
      <c r="G1" s="13"/>
      <c r="H1" s="13"/>
      <c r="I1" s="13"/>
      <c r="J1" s="13"/>
      <c r="K1" s="13"/>
      <c r="L1" s="13"/>
    </row>
    <row r="2" spans="1:12" ht="17.5">
      <c r="A2" s="26" t="s">
        <v>9</v>
      </c>
      <c r="B2" s="13"/>
      <c r="C2" s="13"/>
      <c r="D2" s="13"/>
      <c r="E2" s="13"/>
      <c r="F2" s="13"/>
      <c r="G2" s="13"/>
      <c r="H2" s="13"/>
      <c r="I2" s="13"/>
      <c r="J2" s="13"/>
      <c r="K2" s="13"/>
      <c r="L2" s="13"/>
    </row>
    <row r="3" spans="1:12" ht="17">
      <c r="A3" s="27" t="s">
        <v>487</v>
      </c>
      <c r="B3" s="13"/>
      <c r="C3" s="13"/>
      <c r="D3" s="13"/>
      <c r="E3" s="13"/>
      <c r="F3" s="13"/>
      <c r="G3" s="13"/>
      <c r="H3" s="13"/>
      <c r="I3" s="13"/>
      <c r="J3" s="13"/>
      <c r="K3" s="13"/>
      <c r="L3" s="13"/>
    </row>
    <row r="4" spans="1:12" ht="17">
      <c r="A4" s="27"/>
      <c r="B4" s="13"/>
      <c r="C4" s="13"/>
      <c r="D4" s="13"/>
      <c r="E4" s="13"/>
      <c r="F4" s="13"/>
      <c r="G4" s="13"/>
      <c r="H4" s="13"/>
      <c r="I4" s="13"/>
      <c r="J4" s="13"/>
      <c r="K4" s="13"/>
      <c r="L4" s="13"/>
    </row>
    <row r="5" spans="1:12" ht="17">
      <c r="A5" s="27"/>
      <c r="B5" s="13"/>
      <c r="C5" s="13"/>
      <c r="D5" s="13"/>
      <c r="E5" s="13"/>
      <c r="F5" s="13"/>
      <c r="G5" s="13"/>
      <c r="H5" s="13"/>
      <c r="I5" s="13"/>
      <c r="J5" s="13"/>
      <c r="K5" s="13"/>
      <c r="L5" s="13"/>
    </row>
    <row r="6" spans="1:12" ht="17">
      <c r="A6" s="27"/>
      <c r="B6" s="13"/>
      <c r="C6" s="13"/>
      <c r="D6" s="13"/>
      <c r="E6" s="13"/>
      <c r="F6" s="13"/>
      <c r="G6" s="13"/>
      <c r="H6" s="13"/>
      <c r="I6" s="13"/>
      <c r="J6" s="13"/>
      <c r="K6" s="13"/>
      <c r="L6" s="13"/>
    </row>
    <row r="7" spans="1:12" ht="17.5" thickBot="1">
      <c r="A7" s="13"/>
      <c r="B7" s="13"/>
      <c r="C7" s="13"/>
      <c r="D7" s="13"/>
      <c r="E7" s="13"/>
      <c r="F7" s="30"/>
      <c r="G7" s="30"/>
      <c r="H7" s="31" t="s">
        <v>0</v>
      </c>
      <c r="I7" s="13"/>
      <c r="J7" s="13"/>
      <c r="K7" s="13"/>
      <c r="L7" s="13"/>
    </row>
    <row r="8" spans="1:12" ht="26" thickBot="1">
      <c r="A8" s="272" t="str">
        <f>+'S&amp;D'!A12</f>
        <v>Natural Gas Utility Distribution</v>
      </c>
      <c r="B8" s="273"/>
      <c r="C8" s="202"/>
      <c r="D8" s="13"/>
      <c r="E8" s="13"/>
      <c r="F8" s="13"/>
      <c r="G8" s="33" t="s">
        <v>95</v>
      </c>
      <c r="H8" s="13"/>
      <c r="I8" s="13"/>
      <c r="J8" s="13"/>
      <c r="K8" s="13"/>
      <c r="L8" s="13"/>
    </row>
    <row r="9" spans="1:12" ht="21">
      <c r="A9" s="32"/>
      <c r="B9" s="13"/>
      <c r="C9" s="13"/>
      <c r="D9" s="13"/>
      <c r="E9" s="13"/>
      <c r="F9" s="13"/>
      <c r="G9" s="92" t="s">
        <v>96</v>
      </c>
      <c r="H9" s="13"/>
      <c r="I9" s="13"/>
      <c r="J9" s="13"/>
      <c r="K9" s="13"/>
      <c r="L9" s="13"/>
    </row>
    <row r="10" spans="1:12" ht="18" customHeight="1" thickBot="1">
      <c r="A10" s="42" t="s">
        <v>0</v>
      </c>
      <c r="B10" s="42" t="s">
        <v>0</v>
      </c>
      <c r="C10" s="42" t="s">
        <v>0</v>
      </c>
      <c r="D10" s="13"/>
      <c r="E10" s="13"/>
      <c r="F10" s="35" t="s">
        <v>0</v>
      </c>
      <c r="G10" s="38" t="s">
        <v>488</v>
      </c>
      <c r="H10" s="35" t="s">
        <v>0</v>
      </c>
      <c r="I10" s="42" t="s">
        <v>0</v>
      </c>
      <c r="J10" s="13"/>
      <c r="K10" s="13"/>
      <c r="L10" s="13"/>
    </row>
    <row r="11" spans="1:12" ht="18" customHeight="1">
      <c r="A11" s="42"/>
      <c r="B11" s="42"/>
      <c r="C11" s="42"/>
      <c r="D11" s="13"/>
      <c r="E11" s="13"/>
      <c r="J11" s="13"/>
      <c r="K11" s="13"/>
      <c r="L11" s="13"/>
    </row>
    <row r="12" spans="1:12" ht="18" customHeight="1">
      <c r="A12" s="42"/>
      <c r="B12" s="42"/>
      <c r="C12" s="42"/>
      <c r="D12" s="13"/>
      <c r="E12" s="13"/>
      <c r="G12" s="14" t="s">
        <v>0</v>
      </c>
      <c r="H12" t="s">
        <v>0</v>
      </c>
      <c r="J12" s="13"/>
      <c r="K12" s="13"/>
      <c r="L12" s="13"/>
    </row>
    <row r="13" spans="1:12" ht="17.5" thickBot="1">
      <c r="A13" s="35"/>
      <c r="B13" s="35"/>
      <c r="C13" s="35"/>
      <c r="D13" s="35"/>
      <c r="E13" s="38"/>
      <c r="F13" s="35"/>
      <c r="G13" s="35"/>
      <c r="H13" s="35"/>
      <c r="I13" s="35"/>
      <c r="J13" s="30"/>
      <c r="K13" s="30"/>
      <c r="L13" s="30"/>
    </row>
    <row r="14" spans="1:12" ht="15" customHeight="1" thickBot="1">
      <c r="A14" s="35" t="s">
        <v>24</v>
      </c>
      <c r="B14" s="35" t="s">
        <v>108</v>
      </c>
      <c r="C14" s="35" t="s">
        <v>109</v>
      </c>
      <c r="D14" s="43" t="s">
        <v>110</v>
      </c>
      <c r="E14" s="35" t="s">
        <v>111</v>
      </c>
      <c r="F14" s="35" t="s">
        <v>112</v>
      </c>
      <c r="G14" s="35" t="s">
        <v>113</v>
      </c>
      <c r="H14" s="35" t="s">
        <v>114</v>
      </c>
      <c r="I14" s="35" t="s">
        <v>115</v>
      </c>
      <c r="J14" s="35" t="s">
        <v>116</v>
      </c>
      <c r="K14" s="35" t="s">
        <v>117</v>
      </c>
      <c r="L14" s="35" t="s">
        <v>125</v>
      </c>
    </row>
    <row r="15" spans="1:12" ht="17">
      <c r="A15" s="36" t="s">
        <v>0</v>
      </c>
      <c r="B15" s="36" t="s">
        <v>3</v>
      </c>
      <c r="C15" s="36" t="s">
        <v>97</v>
      </c>
      <c r="D15" s="36" t="s">
        <v>100</v>
      </c>
      <c r="E15" s="36" t="s">
        <v>100</v>
      </c>
      <c r="F15" s="36" t="s">
        <v>101</v>
      </c>
      <c r="G15" s="36" t="s">
        <v>104</v>
      </c>
      <c r="H15" s="36" t="s">
        <v>106</v>
      </c>
      <c r="I15" s="36" t="s">
        <v>128</v>
      </c>
      <c r="J15" s="36" t="s">
        <v>128</v>
      </c>
      <c r="K15" s="36" t="s">
        <v>121</v>
      </c>
      <c r="L15" s="36" t="s">
        <v>123</v>
      </c>
    </row>
    <row r="16" spans="1:12" ht="17.5" thickBot="1">
      <c r="A16" s="38" t="s">
        <v>2</v>
      </c>
      <c r="B16" s="38" t="s">
        <v>4</v>
      </c>
      <c r="C16" s="38" t="s">
        <v>98</v>
      </c>
      <c r="D16" s="38" t="s">
        <v>103</v>
      </c>
      <c r="E16" s="38" t="s">
        <v>102</v>
      </c>
      <c r="F16" s="38" t="s">
        <v>19</v>
      </c>
      <c r="G16" s="38" t="s">
        <v>105</v>
      </c>
      <c r="H16" s="38" t="s">
        <v>107</v>
      </c>
      <c r="I16" s="38" t="s">
        <v>0</v>
      </c>
      <c r="J16" s="38" t="s">
        <v>0</v>
      </c>
      <c r="K16" s="38" t="s">
        <v>122</v>
      </c>
      <c r="L16" s="38" t="s">
        <v>104</v>
      </c>
    </row>
    <row r="17" spans="1:12" ht="16">
      <c r="A17" s="44" t="s">
        <v>7</v>
      </c>
      <c r="B17" s="44" t="s">
        <v>7</v>
      </c>
      <c r="C17" s="44" t="s">
        <v>99</v>
      </c>
      <c r="D17" s="44" t="s">
        <v>268</v>
      </c>
      <c r="E17" s="44" t="s">
        <v>268</v>
      </c>
      <c r="F17" s="44" t="s">
        <v>126</v>
      </c>
      <c r="G17" s="44" t="s">
        <v>267</v>
      </c>
      <c r="H17" s="44" t="s">
        <v>118</v>
      </c>
      <c r="I17" s="44" t="s">
        <v>119</v>
      </c>
      <c r="J17" s="44" t="s">
        <v>120</v>
      </c>
      <c r="K17" s="44" t="s">
        <v>127</v>
      </c>
      <c r="L17" s="44" t="s">
        <v>124</v>
      </c>
    </row>
    <row r="18" spans="1:12" ht="17">
      <c r="A18" s="36"/>
      <c r="B18" s="36"/>
      <c r="C18" s="36"/>
      <c r="D18" s="36"/>
      <c r="E18" s="36"/>
      <c r="F18" s="36"/>
      <c r="G18" s="36" t="s">
        <v>0</v>
      </c>
      <c r="H18" s="36" t="s">
        <v>0</v>
      </c>
      <c r="I18" s="36"/>
      <c r="J18" s="36"/>
      <c r="K18" s="36"/>
      <c r="L18" s="36"/>
    </row>
    <row r="19" spans="1:12" ht="17">
      <c r="A19" s="13"/>
      <c r="B19" s="13"/>
      <c r="C19" s="13"/>
      <c r="D19" s="13" t="s">
        <v>0</v>
      </c>
      <c r="E19" s="13" t="s">
        <v>0</v>
      </c>
      <c r="F19" s="13" t="s">
        <v>0</v>
      </c>
      <c r="G19" s="13" t="s">
        <v>0</v>
      </c>
      <c r="H19" s="13" t="s">
        <v>0</v>
      </c>
      <c r="I19" s="13"/>
      <c r="J19" s="13"/>
      <c r="K19" s="13"/>
      <c r="L19" s="13"/>
    </row>
    <row r="20" spans="1:12" ht="22.5" customHeight="1">
      <c r="A20" s="65" t="str">
        <f>+'S&amp;D'!A22</f>
        <v>Atmos Energy Corp</v>
      </c>
      <c r="B20" s="92" t="str">
        <f>+'S&amp;D'!B22</f>
        <v>ATO</v>
      </c>
      <c r="C20" s="68">
        <f>+'Growth &amp; Inflation Rates'!$D$93</f>
        <v>2.2200000000000001E-2</v>
      </c>
      <c r="D20" s="307">
        <v>23683937000</v>
      </c>
      <c r="E20" s="307">
        <v>20987313000</v>
      </c>
      <c r="F20" s="139">
        <f>(D20+E20)/2</f>
        <v>22335625000</v>
      </c>
      <c r="G20" s="361">
        <f>164608000+150726000+150726000+148317000</f>
        <v>614377000</v>
      </c>
      <c r="H20" s="19">
        <f>+F20/G20</f>
        <v>36.354917257644736</v>
      </c>
      <c r="I20" s="46">
        <f>+C20*H20</f>
        <v>0.80707916311971317</v>
      </c>
      <c r="J20" s="47">
        <f>1/(1+C20)^H20</f>
        <v>0.4501155270918264</v>
      </c>
      <c r="K20" s="140">
        <f>(G20*I20)/(1-J20)</f>
        <v>901736454.52760994</v>
      </c>
      <c r="L20" s="141">
        <f>+K20/G20</f>
        <v>1.4677249547551583</v>
      </c>
    </row>
    <row r="21" spans="1:12" ht="22.5" customHeight="1">
      <c r="A21" s="65" t="str">
        <f>+'S&amp;D'!A23</f>
        <v>Black Hills Corporation</v>
      </c>
      <c r="B21" s="92" t="str">
        <f>+'S&amp;D'!B23</f>
        <v>BKH</v>
      </c>
      <c r="C21" s="68">
        <f>+'Growth &amp; Inflation Rates'!$D$93</f>
        <v>2.2200000000000001E-2</v>
      </c>
      <c r="D21" s="307">
        <v>8917200000</v>
      </c>
      <c r="E21" s="139">
        <v>8374790000</v>
      </c>
      <c r="F21" s="139">
        <f t="shared" ref="F21:F30" si="0">(D21+E21)/2</f>
        <v>8645995000</v>
      </c>
      <c r="G21" s="139">
        <v>256800000</v>
      </c>
      <c r="H21" s="19">
        <f>+F21/G21</f>
        <v>33.668204828660436</v>
      </c>
      <c r="I21" s="46">
        <f t="shared" ref="I21:I30" si="1">+C21*H21</f>
        <v>0.74743414719626167</v>
      </c>
      <c r="J21" s="47">
        <f t="shared" ref="J21:J30" si="2">1/(1+C21)^H21</f>
        <v>0.47746787067689334</v>
      </c>
      <c r="K21" s="140">
        <f t="shared" ref="K21:K30" si="3">(G21*I21)/(1-J21)</f>
        <v>367328778.89947629</v>
      </c>
      <c r="L21" s="141">
        <f t="shared" ref="L21:L30" si="4">+K21/G21</f>
        <v>1.4304080175213252</v>
      </c>
    </row>
    <row r="22" spans="1:12" ht="22.5" customHeight="1">
      <c r="A22" s="65" t="str">
        <f>+'S&amp;D'!A24</f>
        <v>CenterPoint Energy Inc.</v>
      </c>
      <c r="B22" s="92" t="str">
        <f>+'S&amp;D'!B24</f>
        <v>CNP</v>
      </c>
      <c r="C22" s="68">
        <f>+'Growth &amp; Inflation Rates'!$D$93</f>
        <v>2.2200000000000001E-2</v>
      </c>
      <c r="D22" s="307">
        <v>19515000000</v>
      </c>
      <c r="E22" s="139">
        <v>17753000000</v>
      </c>
      <c r="F22" s="139">
        <f t="shared" si="0"/>
        <v>18634000000</v>
      </c>
      <c r="G22" s="139">
        <v>1401000000</v>
      </c>
      <c r="H22" s="19">
        <f>+F22/G22</f>
        <v>13.300499643112063</v>
      </c>
      <c r="I22" s="46">
        <f t="shared" si="1"/>
        <v>0.29527109207708785</v>
      </c>
      <c r="J22" s="47">
        <f t="shared" si="2"/>
        <v>0.7467376976611777</v>
      </c>
      <c r="K22" s="140">
        <f t="shared" si="3"/>
        <v>1633384819.5321736</v>
      </c>
      <c r="L22" s="141">
        <f t="shared" si="4"/>
        <v>1.1658706777531576</v>
      </c>
    </row>
    <row r="23" spans="1:12" ht="22.5" customHeight="1">
      <c r="A23" s="65" t="str">
        <f>+'S&amp;D'!A25</f>
        <v>CMS Energy Corporation</v>
      </c>
      <c r="B23" s="92" t="str">
        <f>+'S&amp;D'!B25</f>
        <v>CMS</v>
      </c>
      <c r="C23" s="68">
        <f>+'Growth &amp; Inflation Rates'!$D$93</f>
        <v>2.2200000000000001E-2</v>
      </c>
      <c r="D23" s="307">
        <v>31723000000</v>
      </c>
      <c r="E23" s="139">
        <v>31673000000</v>
      </c>
      <c r="F23" s="139">
        <f t="shared" ref="F23" si="5">(D23+E23)/2</f>
        <v>31698000000</v>
      </c>
      <c r="G23" s="139">
        <v>1137000000</v>
      </c>
      <c r="H23" s="19">
        <f t="shared" ref="H23:H30" si="6">+F23/G23</f>
        <v>27.878627968337732</v>
      </c>
      <c r="I23" s="46">
        <f t="shared" si="1"/>
        <v>0.61890554089709771</v>
      </c>
      <c r="J23" s="47">
        <f t="shared" si="2"/>
        <v>0.5421916729950873</v>
      </c>
      <c r="K23" s="140">
        <f t="shared" si="3"/>
        <v>1537096549.9988575</v>
      </c>
      <c r="L23" s="141">
        <f t="shared" si="4"/>
        <v>1.3518879067712026</v>
      </c>
    </row>
    <row r="24" spans="1:12" ht="22.5" customHeight="1">
      <c r="A24" s="65" t="str">
        <f>+'S&amp;D'!A26</f>
        <v>New Jersey Resources Corp</v>
      </c>
      <c r="B24" s="92" t="str">
        <f>+'S&amp;D'!B26</f>
        <v>NJR</v>
      </c>
      <c r="C24" s="68">
        <f>+'Growth &amp; Inflation Rates'!$D$93</f>
        <v>2.2200000000000001E-2</v>
      </c>
      <c r="D24" s="307">
        <v>6095757000</v>
      </c>
      <c r="E24" s="139">
        <v>5642574000</v>
      </c>
      <c r="F24" s="139">
        <f t="shared" si="0"/>
        <v>5869165500</v>
      </c>
      <c r="G24" s="139">
        <f>(152941+40287-36683)*1000</f>
        <v>156545000</v>
      </c>
      <c r="H24" s="19">
        <f t="shared" si="6"/>
        <v>37.491874540866846</v>
      </c>
      <c r="I24" s="46">
        <f t="shared" si="1"/>
        <v>0.83231961480724403</v>
      </c>
      <c r="J24" s="47">
        <f t="shared" si="2"/>
        <v>0.43901778085721788</v>
      </c>
      <c r="K24" s="140">
        <f t="shared" si="3"/>
        <v>232263108.62240896</v>
      </c>
      <c r="L24" s="141">
        <f t="shared" si="4"/>
        <v>1.4836827022415853</v>
      </c>
    </row>
    <row r="25" spans="1:12" ht="22.5" customHeight="1">
      <c r="A25" s="65" t="str">
        <f>+'S&amp;D'!A27</f>
        <v>NISOURCE Inc.</v>
      </c>
      <c r="B25" s="92" t="str">
        <f>+'S&amp;D'!B27</f>
        <v>NI</v>
      </c>
      <c r="C25" s="68">
        <f>+'Growth &amp; Inflation Rates'!$D$93</f>
        <v>2.2200000000000001E-2</v>
      </c>
      <c r="D25" s="307">
        <v>30482100000</v>
      </c>
      <c r="E25" s="139">
        <v>27551300000</v>
      </c>
      <c r="F25" s="139">
        <f t="shared" si="0"/>
        <v>29016700000</v>
      </c>
      <c r="G25" s="139">
        <v>908200000</v>
      </c>
      <c r="H25" s="19">
        <f t="shared" si="6"/>
        <v>31.949680687073332</v>
      </c>
      <c r="I25" s="46">
        <f t="shared" si="1"/>
        <v>0.709282911253028</v>
      </c>
      <c r="J25" s="47">
        <f t="shared" si="2"/>
        <v>0.49582884335478772</v>
      </c>
      <c r="K25" s="140">
        <f t="shared" si="3"/>
        <v>1277682651.03929</v>
      </c>
      <c r="L25" s="141">
        <f t="shared" si="4"/>
        <v>1.4068296091601959</v>
      </c>
    </row>
    <row r="26" spans="1:12" ht="22.5" customHeight="1">
      <c r="A26" s="65" t="str">
        <f>+'S&amp;D'!A28</f>
        <v xml:space="preserve">Northwest Natural Holding Company </v>
      </c>
      <c r="B26" s="92" t="str">
        <f>+'S&amp;D'!B28</f>
        <v>NWN</v>
      </c>
      <c r="C26" s="68">
        <f>+'Growth &amp; Inflation Rates'!$D$93</f>
        <v>2.2200000000000001E-2</v>
      </c>
      <c r="D26" s="307">
        <v>4556609000</v>
      </c>
      <c r="E26" s="139">
        <v>4261566000</v>
      </c>
      <c r="F26" s="139">
        <f t="shared" si="0"/>
        <v>4409087500</v>
      </c>
      <c r="G26" s="139">
        <v>125581000</v>
      </c>
      <c r="H26" s="19">
        <f t="shared" si="6"/>
        <v>35.10951099290498</v>
      </c>
      <c r="I26" s="46">
        <f t="shared" si="1"/>
        <v>0.77943114404249059</v>
      </c>
      <c r="J26" s="47">
        <f t="shared" si="2"/>
        <v>0.46259404205809829</v>
      </c>
      <c r="K26" s="140">
        <f t="shared" si="3"/>
        <v>182137434.56595969</v>
      </c>
      <c r="L26" s="141">
        <f t="shared" si="4"/>
        <v>1.4503582115603451</v>
      </c>
    </row>
    <row r="27" spans="1:12" ht="22.5" customHeight="1">
      <c r="A27" s="65" t="str">
        <f>+'S&amp;D'!A29</f>
        <v>One Gas INC</v>
      </c>
      <c r="B27" s="92" t="str">
        <f>+'S&amp;D'!B29</f>
        <v>OGS</v>
      </c>
      <c r="C27" s="68">
        <f>+'Growth &amp; Inflation Rates'!$D$93</f>
        <v>2.2200000000000001E-2</v>
      </c>
      <c r="D27" s="307">
        <v>8468967000</v>
      </c>
      <c r="E27" s="139">
        <v>7834557000</v>
      </c>
      <c r="F27" s="139">
        <f t="shared" si="0"/>
        <v>8151762000</v>
      </c>
      <c r="G27" s="139">
        <v>279830000</v>
      </c>
      <c r="H27" s="19">
        <f t="shared" si="6"/>
        <v>29.131122467212236</v>
      </c>
      <c r="I27" s="46">
        <f t="shared" si="1"/>
        <v>0.64671091877211173</v>
      </c>
      <c r="J27" s="47">
        <f t="shared" si="2"/>
        <v>0.52748390224671271</v>
      </c>
      <c r="K27" s="140">
        <f t="shared" si="3"/>
        <v>382990372.73115003</v>
      </c>
      <c r="L27" s="141">
        <f t="shared" si="4"/>
        <v>1.3686537280890185</v>
      </c>
    </row>
    <row r="28" spans="1:12" ht="22.5" customHeight="1">
      <c r="A28" s="65" t="str">
        <f>+'S&amp;D'!A30</f>
        <v>Southwest Gas Holdings, Inc</v>
      </c>
      <c r="B28" s="92" t="str">
        <f>+'S&amp;D'!B30</f>
        <v>SWX</v>
      </c>
      <c r="C28" s="68">
        <f>+'Growth &amp; Inflation Rates'!$D$93</f>
        <v>2.2200000000000001E-2</v>
      </c>
      <c r="D28" s="307">
        <f>8468967000+200549000</f>
        <v>8669516000</v>
      </c>
      <c r="E28" s="139">
        <v>9698657000</v>
      </c>
      <c r="F28" s="139">
        <f>(D28+E28)/2</f>
        <v>9184086500</v>
      </c>
      <c r="G28" s="139">
        <v>440908000</v>
      </c>
      <c r="H28" s="19">
        <f>+F28/G28</f>
        <v>20.829938445208523</v>
      </c>
      <c r="I28" s="46">
        <f>+C28*H28</f>
        <v>0.46242463348362922</v>
      </c>
      <c r="J28" s="47">
        <f>1/(1+C28)^H28</f>
        <v>0.6329483571963066</v>
      </c>
      <c r="K28" s="140">
        <f>(G28*I28)/(1-J28)</f>
        <v>555471482.82085931</v>
      </c>
      <c r="L28" s="141">
        <f t="shared" si="4"/>
        <v>1.2598353461966199</v>
      </c>
    </row>
    <row r="29" spans="1:12" ht="22.5" customHeight="1">
      <c r="A29" s="65" t="str">
        <f>+'S&amp;D'!A31</f>
        <v>Spire Inc / Laclede Group Inc</v>
      </c>
      <c r="B29" s="92" t="str">
        <f>+'S&amp;D'!B31</f>
        <v>SR</v>
      </c>
      <c r="C29" s="68">
        <f>+'Growth &amp; Inflation Rates'!$D$93</f>
        <v>2.2200000000000001E-2</v>
      </c>
      <c r="D29" s="307">
        <v>8345000000</v>
      </c>
      <c r="E29" s="139">
        <v>7769400000</v>
      </c>
      <c r="F29" s="139">
        <f t="shared" si="0"/>
        <v>8057200000</v>
      </c>
      <c r="G29" s="139">
        <f>(62.1+62.6+64.3+65.8)*1000000</f>
        <v>254800000</v>
      </c>
      <c r="H29" s="19">
        <f t="shared" si="6"/>
        <v>31.621664050235477</v>
      </c>
      <c r="I29" s="46">
        <f t="shared" si="1"/>
        <v>0.70200094191522766</v>
      </c>
      <c r="J29" s="47">
        <f t="shared" si="2"/>
        <v>0.49941285054404544</v>
      </c>
      <c r="K29" s="140">
        <f t="shared" si="3"/>
        <v>357320079.41953433</v>
      </c>
      <c r="L29" s="141">
        <f t="shared" si="4"/>
        <v>1.4023550997626937</v>
      </c>
    </row>
    <row r="30" spans="1:12" ht="22.5" customHeight="1">
      <c r="A30" s="65" t="str">
        <f>+'S&amp;D'!A32</f>
        <v>WEC Energy Group</v>
      </c>
      <c r="B30" s="92" t="str">
        <f>+'S&amp;D'!B32</f>
        <v>WEC</v>
      </c>
      <c r="C30" s="68">
        <f>+'Growth &amp; Inflation Rates'!$D$93</f>
        <v>2.2200000000000001E-2</v>
      </c>
      <c r="D30" s="307">
        <f>31581500000+11073100000</f>
        <v>42654600000</v>
      </c>
      <c r="E30" s="139">
        <v>38612000000</v>
      </c>
      <c r="F30" s="139">
        <f t="shared" si="0"/>
        <v>40633300000</v>
      </c>
      <c r="G30" s="139">
        <v>1264200000</v>
      </c>
      <c r="H30" s="19">
        <f t="shared" si="6"/>
        <v>32.14151241892106</v>
      </c>
      <c r="I30" s="46">
        <f t="shared" si="1"/>
        <v>0.71354157570004761</v>
      </c>
      <c r="J30" s="47">
        <f t="shared" si="2"/>
        <v>0.49374476412343904</v>
      </c>
      <c r="K30" s="140">
        <f t="shared" si="3"/>
        <v>1781827023.3553638</v>
      </c>
      <c r="L30" s="141">
        <f t="shared" si="4"/>
        <v>1.4094502636887865</v>
      </c>
    </row>
    <row r="31" spans="1:12" ht="22.5" customHeight="1" thickBot="1">
      <c r="A31" s="13"/>
      <c r="B31" s="13"/>
      <c r="D31" s="48"/>
      <c r="E31" s="48"/>
      <c r="F31" s="48"/>
      <c r="G31" s="48" t="s">
        <v>55</v>
      </c>
      <c r="H31" s="48"/>
      <c r="I31" s="48" t="s">
        <v>55</v>
      </c>
      <c r="J31" s="48"/>
      <c r="K31" s="48"/>
      <c r="L31" s="48"/>
    </row>
    <row r="32" spans="1:12" ht="22.5" customHeight="1" thickTop="1">
      <c r="A32" s="13"/>
      <c r="B32" s="13"/>
      <c r="D32" s="49" t="s">
        <v>0</v>
      </c>
      <c r="E32" s="364"/>
      <c r="F32" s="15"/>
      <c r="G32" s="461"/>
      <c r="H32" s="36"/>
      <c r="I32" s="49" t="s">
        <v>0</v>
      </c>
      <c r="J32" s="49" t="s">
        <v>0</v>
      </c>
      <c r="K32" s="15" t="s">
        <v>56</v>
      </c>
      <c r="L32" s="301">
        <f>MAX(L20:L30)</f>
        <v>1.4836827022415853</v>
      </c>
    </row>
    <row r="33" spans="1:12" ht="22.5" customHeight="1">
      <c r="B33" s="13"/>
      <c r="D33" s="36" t="s">
        <v>0</v>
      </c>
      <c r="E33" s="364"/>
      <c r="F33" s="15"/>
      <c r="G33" s="49"/>
      <c r="H33" s="36"/>
      <c r="I33" s="49"/>
      <c r="J33" s="49"/>
      <c r="K33" s="15" t="s">
        <v>57</v>
      </c>
      <c r="L33" s="302">
        <f>MIN(L20:L30)</f>
        <v>1.1658706777531576</v>
      </c>
    </row>
    <row r="34" spans="1:12" ht="22.5" customHeight="1">
      <c r="B34" s="13"/>
      <c r="C34" s="13"/>
      <c r="D34" s="309" t="s">
        <v>0</v>
      </c>
      <c r="E34" s="362"/>
      <c r="F34" s="13"/>
      <c r="G34" s="13" t="s">
        <v>0</v>
      </c>
      <c r="H34" s="13"/>
      <c r="I34" s="13"/>
      <c r="J34" s="13"/>
      <c r="K34" s="15" t="s">
        <v>18</v>
      </c>
      <c r="L34" s="57">
        <f>MEDIAN(L20:L30)</f>
        <v>1.4068296091601959</v>
      </c>
    </row>
    <row r="35" spans="1:12" ht="22.5" customHeight="1">
      <c r="A35" s="13"/>
      <c r="B35" s="13"/>
      <c r="C35" s="13"/>
      <c r="D35" s="13" t="s">
        <v>0</v>
      </c>
      <c r="E35" s="362"/>
      <c r="F35" s="13"/>
      <c r="G35" s="13" t="s">
        <v>0</v>
      </c>
      <c r="H35" s="13" t="s">
        <v>0</v>
      </c>
      <c r="I35" s="13"/>
      <c r="J35" s="13"/>
      <c r="K35" s="15" t="s">
        <v>448</v>
      </c>
      <c r="L35" s="57">
        <f>AVERAGE(L20:L30)</f>
        <v>1.3815505925000082</v>
      </c>
    </row>
    <row r="36" spans="1:12" ht="22.5" customHeight="1" thickBot="1">
      <c r="A36" s="13"/>
      <c r="B36" s="13"/>
      <c r="C36" s="13"/>
      <c r="D36" s="13"/>
      <c r="E36" s="363"/>
      <c r="F36" s="13"/>
      <c r="G36" s="13" t="s">
        <v>0</v>
      </c>
      <c r="H36" s="13"/>
      <c r="I36" s="13"/>
      <c r="J36" s="13"/>
      <c r="K36" s="13"/>
      <c r="L36" s="13"/>
    </row>
    <row r="37" spans="1:12" ht="22.5" customHeight="1" thickBot="1">
      <c r="A37" s="13"/>
      <c r="B37" s="13"/>
      <c r="C37" s="13"/>
      <c r="D37" s="13"/>
      <c r="E37" s="362"/>
      <c r="F37" s="13"/>
      <c r="G37" s="13"/>
      <c r="H37" s="13"/>
      <c r="I37" s="13"/>
      <c r="J37" s="13"/>
      <c r="K37" s="208" t="s">
        <v>233</v>
      </c>
      <c r="L37" s="405">
        <v>1.3815999999999999</v>
      </c>
    </row>
    <row r="38" spans="1:12" ht="17">
      <c r="A38" s="13"/>
      <c r="B38" s="13"/>
      <c r="C38" s="13"/>
      <c r="D38" s="13"/>
      <c r="E38" s="362"/>
      <c r="F38" s="13"/>
      <c r="G38" s="13" t="s">
        <v>0</v>
      </c>
      <c r="H38" s="13"/>
      <c r="I38" s="13"/>
      <c r="J38" s="13"/>
      <c r="K38" s="13"/>
      <c r="L38" s="13"/>
    </row>
    <row r="39" spans="1:12" ht="17">
      <c r="A39" s="13"/>
      <c r="B39" s="13"/>
      <c r="C39" s="13"/>
      <c r="D39" s="13"/>
      <c r="E39" s="362"/>
      <c r="F39" s="13"/>
      <c r="G39" s="13" t="s">
        <v>0</v>
      </c>
      <c r="H39" s="13"/>
      <c r="I39" s="13"/>
      <c r="J39" s="13"/>
      <c r="K39" s="13"/>
      <c r="L39" s="13"/>
    </row>
    <row r="40" spans="1:12" ht="21">
      <c r="A40" s="32" t="s">
        <v>90</v>
      </c>
      <c r="B40" s="13"/>
      <c r="C40" s="13"/>
      <c r="D40" s="13"/>
      <c r="E40" s="13"/>
      <c r="F40" s="13"/>
      <c r="G40" s="13"/>
      <c r="H40" s="13"/>
      <c r="I40" s="13"/>
      <c r="J40" s="13"/>
      <c r="K40" s="13"/>
      <c r="L40" s="13"/>
    </row>
    <row r="41" spans="1:12" ht="17">
      <c r="A41" s="13" t="s">
        <v>290</v>
      </c>
    </row>
    <row r="42" spans="1:12" ht="17">
      <c r="A42" s="13"/>
    </row>
    <row r="43" spans="1:12" ht="17">
      <c r="A43" s="13" t="s">
        <v>396</v>
      </c>
    </row>
    <row r="44" spans="1:12" ht="21">
      <c r="A44" s="243"/>
      <c r="B44" s="243"/>
      <c r="C44" s="243"/>
      <c r="D44" s="243"/>
      <c r="E44" s="243"/>
      <c r="F44" s="243"/>
      <c r="G44" s="243"/>
      <c r="H44" s="243"/>
      <c r="I44" s="243"/>
      <c r="J44" s="243"/>
      <c r="K44" s="243"/>
      <c r="L44" s="243"/>
    </row>
    <row r="45" spans="1:12" ht="25.5">
      <c r="A45" s="25" t="s">
        <v>1</v>
      </c>
      <c r="B45" s="13"/>
      <c r="C45" s="13"/>
      <c r="D45" s="13"/>
      <c r="E45" s="13"/>
      <c r="F45" s="13"/>
      <c r="G45" s="13"/>
      <c r="H45" s="13"/>
      <c r="I45" s="13"/>
      <c r="J45" s="13"/>
      <c r="K45" s="243"/>
      <c r="L45" s="243"/>
    </row>
    <row r="46" spans="1:12" ht="21">
      <c r="A46" s="26" t="s">
        <v>9</v>
      </c>
      <c r="B46" s="13"/>
      <c r="C46" s="13"/>
      <c r="D46" s="13"/>
      <c r="E46" s="13"/>
      <c r="F46" s="13"/>
      <c r="G46" s="13"/>
      <c r="H46" s="13"/>
      <c r="I46" s="13"/>
      <c r="J46" s="13"/>
      <c r="K46" s="243"/>
      <c r="L46" s="243"/>
    </row>
    <row r="47" spans="1:12" ht="21">
      <c r="A47" s="27" t="s">
        <v>487</v>
      </c>
      <c r="B47" s="13"/>
      <c r="C47" s="13"/>
      <c r="D47" s="13"/>
      <c r="E47" s="13"/>
      <c r="F47" s="13"/>
      <c r="G47" s="13"/>
      <c r="H47" s="13"/>
      <c r="I47" s="13"/>
      <c r="J47" s="13"/>
      <c r="K47" s="243"/>
      <c r="L47" s="243"/>
    </row>
    <row r="48" spans="1:12" ht="21">
      <c r="A48" s="27"/>
      <c r="B48" s="13"/>
      <c r="C48" s="13"/>
      <c r="D48" s="13"/>
      <c r="E48" s="13"/>
      <c r="F48" s="13"/>
      <c r="G48" s="13"/>
      <c r="H48" s="13"/>
      <c r="I48" s="13"/>
      <c r="J48" s="13"/>
      <c r="K48" s="243"/>
      <c r="L48" s="243"/>
    </row>
    <row r="49" spans="1:12" ht="21">
      <c r="A49" s="27"/>
      <c r="B49" s="13"/>
      <c r="C49" s="13"/>
      <c r="D49" s="13"/>
      <c r="E49" s="13"/>
      <c r="F49" s="13"/>
      <c r="G49" s="13"/>
      <c r="H49" s="13"/>
      <c r="I49" s="13"/>
      <c r="J49" s="13"/>
      <c r="K49" s="243"/>
      <c r="L49" s="243"/>
    </row>
    <row r="50" spans="1:12" ht="21">
      <c r="A50" s="27"/>
      <c r="B50" s="13"/>
      <c r="C50" s="13"/>
      <c r="D50" s="13"/>
      <c r="E50" s="13"/>
      <c r="F50" s="13"/>
      <c r="G50" s="13"/>
      <c r="H50" s="13"/>
      <c r="I50" s="13"/>
      <c r="J50" s="13"/>
      <c r="K50" s="243"/>
      <c r="L50" s="243"/>
    </row>
    <row r="51" spans="1:12" ht="21.5" thickBot="1">
      <c r="B51" s="13"/>
      <c r="C51" s="13"/>
      <c r="D51" s="13"/>
      <c r="E51" s="13"/>
      <c r="F51" s="30"/>
      <c r="G51" s="30"/>
      <c r="H51" s="31" t="s">
        <v>0</v>
      </c>
      <c r="I51" s="13"/>
      <c r="J51" s="13"/>
      <c r="K51" s="243"/>
      <c r="L51" s="243"/>
    </row>
    <row r="52" spans="1:12" ht="25.5">
      <c r="B52" s="13"/>
      <c r="C52" s="13"/>
      <c r="D52" s="13"/>
      <c r="E52" s="13"/>
      <c r="F52" s="13"/>
      <c r="G52" s="33" t="s">
        <v>315</v>
      </c>
      <c r="H52" s="13"/>
      <c r="I52" s="13"/>
      <c r="J52" s="13"/>
      <c r="K52" s="243"/>
      <c r="L52" s="243"/>
    </row>
    <row r="53" spans="1:12" ht="21.5" thickBot="1">
      <c r="B53" s="42" t="s">
        <v>0</v>
      </c>
      <c r="C53" s="42" t="s">
        <v>0</v>
      </c>
      <c r="D53" s="13"/>
      <c r="E53" s="13"/>
      <c r="F53" s="35" t="s">
        <v>0</v>
      </c>
      <c r="G53" s="38" t="s">
        <v>488</v>
      </c>
      <c r="H53" s="35" t="s">
        <v>0</v>
      </c>
      <c r="I53" s="42" t="s">
        <v>0</v>
      </c>
      <c r="J53" s="13"/>
      <c r="K53" s="243"/>
      <c r="L53" s="243"/>
    </row>
    <row r="54" spans="1:12" ht="21">
      <c r="A54" s="243"/>
      <c r="B54" s="243"/>
      <c r="C54" s="243"/>
      <c r="D54" s="243"/>
      <c r="E54" s="243"/>
      <c r="F54" s="243"/>
      <c r="G54" s="243"/>
      <c r="H54" s="243"/>
      <c r="I54" s="243"/>
      <c r="J54" s="243"/>
      <c r="K54" s="243"/>
      <c r="L54" s="243"/>
    </row>
    <row r="55" spans="1:12" ht="21">
      <c r="A55" s="243"/>
      <c r="B55" s="243"/>
      <c r="C55" s="243"/>
      <c r="D55" s="243"/>
      <c r="E55" s="243"/>
      <c r="F55" s="243"/>
      <c r="G55" s="243"/>
      <c r="H55" s="243"/>
      <c r="I55" s="243"/>
      <c r="J55" s="243"/>
      <c r="K55" s="243"/>
      <c r="L55" s="243"/>
    </row>
    <row r="56" spans="1:12" ht="21">
      <c r="A56" s="243"/>
      <c r="B56" s="243"/>
      <c r="C56" s="243"/>
      <c r="D56" s="243"/>
      <c r="E56" s="243"/>
      <c r="F56" s="243"/>
      <c r="G56" s="243"/>
      <c r="H56" s="243"/>
      <c r="I56" s="243"/>
      <c r="J56" s="243"/>
      <c r="K56" s="243"/>
      <c r="L56" s="243"/>
    </row>
    <row r="57" spans="1:12" ht="17">
      <c r="A57" s="42"/>
      <c r="B57" s="42"/>
      <c r="C57" s="42"/>
      <c r="D57" s="13"/>
      <c r="E57" s="13"/>
      <c r="J57" s="13"/>
      <c r="K57" s="13"/>
      <c r="L57" s="13"/>
    </row>
    <row r="58" spans="1:12" ht="30">
      <c r="A58" s="237" t="s">
        <v>304</v>
      </c>
      <c r="B58" s="42"/>
      <c r="C58" s="239" t="s">
        <v>309</v>
      </c>
      <c r="D58" s="13"/>
      <c r="E58" s="13"/>
      <c r="J58" s="13"/>
      <c r="K58" s="13"/>
      <c r="L58" s="13"/>
    </row>
    <row r="59" spans="1:12" ht="30">
      <c r="A59" s="237" t="s">
        <v>308</v>
      </c>
      <c r="B59" s="42"/>
      <c r="C59" s="239" t="s">
        <v>314</v>
      </c>
      <c r="D59" s="13"/>
      <c r="E59" s="13"/>
      <c r="J59" s="13"/>
      <c r="K59" s="13"/>
      <c r="L59" s="13"/>
    </row>
    <row r="60" spans="1:12" ht="18.75" customHeight="1">
      <c r="A60" s="237"/>
      <c r="B60" s="42"/>
      <c r="C60" s="239"/>
      <c r="D60" s="13"/>
      <c r="E60" s="13"/>
      <c r="J60" s="13"/>
      <c r="K60" s="13"/>
      <c r="L60" s="13"/>
    </row>
    <row r="61" spans="1:12" ht="17.5">
      <c r="A61" s="238" t="s">
        <v>305</v>
      </c>
      <c r="B61" s="42"/>
      <c r="C61" s="42"/>
      <c r="D61" s="13"/>
      <c r="E61" s="13"/>
      <c r="J61" s="13"/>
      <c r="K61" s="13"/>
      <c r="L61" s="13"/>
    </row>
    <row r="62" spans="1:12" ht="17.5">
      <c r="A62" s="238" t="s">
        <v>306</v>
      </c>
      <c r="B62" s="42"/>
      <c r="C62" s="42"/>
      <c r="D62" s="13"/>
      <c r="E62" s="13"/>
      <c r="J62" s="13"/>
      <c r="K62" s="13"/>
      <c r="L62" s="13"/>
    </row>
    <row r="63" spans="1:12" ht="17.5">
      <c r="A63" s="238" t="s">
        <v>307</v>
      </c>
      <c r="B63" s="42"/>
      <c r="C63" s="42"/>
      <c r="D63" s="13"/>
      <c r="E63" s="13"/>
      <c r="J63" s="13"/>
      <c r="K63" s="13"/>
      <c r="L63" s="13"/>
    </row>
    <row r="69" spans="1:9" ht="30">
      <c r="A69" s="240" t="s">
        <v>313</v>
      </c>
      <c r="B69" s="113"/>
      <c r="C69" s="113"/>
      <c r="D69" s="113"/>
      <c r="E69" s="113"/>
      <c r="F69" s="113"/>
      <c r="G69" s="13"/>
      <c r="H69" s="13"/>
      <c r="I69" s="13"/>
    </row>
    <row r="70" spans="1:9" ht="17.5">
      <c r="A70" s="113"/>
      <c r="B70" s="113"/>
      <c r="C70" s="113"/>
      <c r="D70" s="113"/>
      <c r="E70" s="113"/>
      <c r="F70" s="113"/>
      <c r="G70" s="13"/>
      <c r="H70" s="13"/>
      <c r="I70" s="13"/>
    </row>
    <row r="71" spans="1:9" ht="18" thickBot="1">
      <c r="A71" s="241" t="s">
        <v>310</v>
      </c>
      <c r="B71" s="115"/>
      <c r="C71" s="115"/>
      <c r="D71" s="242" t="s">
        <v>312</v>
      </c>
      <c r="E71" s="115"/>
      <c r="F71" s="113"/>
      <c r="G71" s="13"/>
      <c r="H71" s="13"/>
      <c r="I71" s="13"/>
    </row>
    <row r="72" spans="1:9" ht="17.5">
      <c r="A72" s="113"/>
      <c r="B72" s="113"/>
      <c r="C72" s="113"/>
      <c r="D72" s="113" t="s">
        <v>311</v>
      </c>
      <c r="E72" s="113"/>
      <c r="F72" s="113"/>
      <c r="G72" s="13"/>
      <c r="H72" s="13"/>
      <c r="I72" s="13"/>
    </row>
    <row r="73" spans="1:9" ht="17.5">
      <c r="A73" s="113"/>
      <c r="B73" s="113"/>
      <c r="C73" s="113"/>
      <c r="D73" s="113"/>
      <c r="E73" s="113"/>
      <c r="F73" s="113"/>
      <c r="G73" s="13"/>
      <c r="H73" s="13"/>
      <c r="I73" s="13"/>
    </row>
    <row r="74" spans="1:9" ht="17">
      <c r="A74" s="13"/>
      <c r="B74" s="13"/>
      <c r="C74" s="13"/>
      <c r="D74" s="13"/>
      <c r="E74" s="13"/>
      <c r="F74" s="13"/>
      <c r="G74" s="13"/>
      <c r="H74" s="13"/>
      <c r="I74" s="13"/>
    </row>
    <row r="75" spans="1:9" ht="17">
      <c r="A75" s="13"/>
      <c r="B75" s="13"/>
      <c r="C75" s="13"/>
      <c r="D75" s="13"/>
      <c r="E75" s="13"/>
      <c r="F75" s="13"/>
      <c r="G75" s="13"/>
      <c r="H75" s="13"/>
      <c r="I75" s="13"/>
    </row>
    <row r="76" spans="1:9" ht="17">
      <c r="A76" s="13"/>
      <c r="B76" s="13"/>
      <c r="C76" s="13"/>
      <c r="D76" s="13"/>
      <c r="E76" s="13"/>
      <c r="F76" s="13"/>
      <c r="G76" s="13"/>
      <c r="H76" s="13"/>
      <c r="I76" s="13"/>
    </row>
    <row r="77" spans="1:9" ht="17">
      <c r="A77" s="13"/>
      <c r="B77" s="13"/>
      <c r="C77" s="13"/>
      <c r="D77" s="13"/>
      <c r="E77" s="13"/>
      <c r="F77" s="13"/>
      <c r="G77" s="13"/>
      <c r="H77" s="13"/>
      <c r="I77" s="13"/>
    </row>
    <row r="78" spans="1:9" ht="17">
      <c r="A78" s="13"/>
      <c r="B78" s="13"/>
      <c r="C78" s="13"/>
      <c r="D78" s="13"/>
      <c r="E78" s="13"/>
      <c r="F78" s="13"/>
      <c r="G78" s="13"/>
      <c r="H78" s="13"/>
      <c r="I78" s="13"/>
    </row>
    <row r="79" spans="1:9" ht="17">
      <c r="A79" s="13" t="s">
        <v>0</v>
      </c>
      <c r="B79" s="13"/>
      <c r="C79" s="13"/>
      <c r="D79" s="13"/>
      <c r="E79" s="13"/>
      <c r="F79" s="13"/>
      <c r="G79" s="13"/>
      <c r="H79" s="13"/>
      <c r="I79" s="13"/>
    </row>
    <row r="80" spans="1:9" ht="17">
      <c r="A80" s="13"/>
      <c r="B80" s="13"/>
      <c r="C80" s="13"/>
      <c r="D80" s="13"/>
      <c r="E80" s="13"/>
      <c r="F80" s="13"/>
      <c r="G80" s="13"/>
      <c r="H80" s="13"/>
      <c r="I80" s="13"/>
    </row>
  </sheetData>
  <pageMargins left="0.25" right="0.25" top="0.75" bottom="0.75" header="0.3" footer="0.3"/>
  <pageSetup scale="51" orientation="landscape" r:id="rId1"/>
  <rowBreaks count="1" manualBreakCount="1">
    <brk id="43"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J38"/>
  <sheetViews>
    <sheetView view="pageBreakPreview" topLeftCell="A5" zoomScale="60" zoomScaleNormal="80" workbookViewId="0">
      <selection activeCell="G18" sqref="G18"/>
    </sheetView>
  </sheetViews>
  <sheetFormatPr defaultRowHeight="14.5"/>
  <cols>
    <col min="1" max="1" width="45.1796875" customWidth="1"/>
    <col min="2" max="2" width="17" customWidth="1"/>
    <col min="3" max="3" width="27.7265625" customWidth="1"/>
    <col min="4" max="4" width="16.81640625" customWidth="1"/>
    <col min="5" max="5" width="23.54296875" customWidth="1"/>
    <col min="6" max="6" width="22.81640625" customWidth="1"/>
    <col min="7" max="7" width="21.26953125" customWidth="1"/>
    <col min="8" max="8" width="19.7265625" customWidth="1"/>
    <col min="9" max="9" width="32.1796875" customWidth="1"/>
    <col min="10" max="10" width="14.1796875" bestFit="1" customWidth="1"/>
    <col min="12" max="12" width="10.54296875" customWidth="1"/>
  </cols>
  <sheetData>
    <row r="1" spans="1:9" ht="25.5">
      <c r="A1" s="25" t="s">
        <v>1</v>
      </c>
      <c r="B1" s="13"/>
      <c r="C1" s="13"/>
      <c r="D1" s="13"/>
      <c r="E1" s="13"/>
      <c r="F1" s="13"/>
      <c r="G1" s="13"/>
      <c r="H1" s="13"/>
      <c r="I1" s="13"/>
    </row>
    <row r="2" spans="1:9" ht="17.5">
      <c r="A2" s="26" t="s">
        <v>9</v>
      </c>
      <c r="B2" s="13"/>
      <c r="C2" s="13"/>
      <c r="D2" s="13"/>
      <c r="E2" s="13"/>
      <c r="F2" s="13"/>
      <c r="G2" s="13"/>
      <c r="H2" s="13"/>
      <c r="I2" s="13"/>
    </row>
    <row r="3" spans="1:9" ht="17">
      <c r="A3" s="27" t="s">
        <v>487</v>
      </c>
      <c r="B3" s="13"/>
      <c r="C3" s="13"/>
      <c r="D3" s="13"/>
      <c r="E3" s="13"/>
      <c r="F3" s="13"/>
      <c r="G3" s="13"/>
      <c r="H3" s="13"/>
      <c r="I3" s="13"/>
    </row>
    <row r="4" spans="1:9" ht="17">
      <c r="A4" s="27"/>
      <c r="B4" s="13"/>
      <c r="C4" s="13"/>
      <c r="D4" s="13"/>
      <c r="E4" s="13"/>
      <c r="F4" s="13"/>
      <c r="G4" s="13"/>
      <c r="H4" s="13"/>
      <c r="I4" s="13"/>
    </row>
    <row r="5" spans="1:9" ht="17">
      <c r="A5" s="27"/>
      <c r="B5" s="13"/>
      <c r="C5" s="13"/>
      <c r="D5" s="13"/>
      <c r="E5" s="13"/>
      <c r="F5" s="13"/>
      <c r="G5" s="13"/>
      <c r="H5" s="13"/>
      <c r="I5" s="13"/>
    </row>
    <row r="6" spans="1:9" ht="17">
      <c r="A6" s="27"/>
      <c r="B6" s="13"/>
      <c r="C6" s="13"/>
      <c r="D6" s="13"/>
      <c r="E6" s="13"/>
      <c r="F6" s="13"/>
      <c r="G6" s="13"/>
      <c r="H6" s="13"/>
      <c r="I6" s="13"/>
    </row>
    <row r="7" spans="1:9" ht="17.5" thickBot="1">
      <c r="A7" s="13"/>
      <c r="B7" s="13"/>
      <c r="C7" s="13"/>
      <c r="H7" s="28"/>
      <c r="I7" s="13"/>
    </row>
    <row r="8" spans="1:9" ht="21.5" thickBot="1">
      <c r="A8" s="272" t="str">
        <f>+'S&amp;D'!A12</f>
        <v>Natural Gas Utility Distribution</v>
      </c>
      <c r="B8" s="202"/>
      <c r="C8" s="13"/>
      <c r="D8" s="30"/>
      <c r="E8" s="30"/>
      <c r="F8" s="30"/>
      <c r="H8" s="13"/>
      <c r="I8" s="13"/>
    </row>
    <row r="9" spans="1:9" ht="25.5">
      <c r="A9" s="32"/>
      <c r="B9" s="13"/>
      <c r="C9" s="13"/>
      <c r="D9" s="13"/>
      <c r="E9" s="33" t="s">
        <v>142</v>
      </c>
      <c r="F9" s="33"/>
      <c r="H9" s="13"/>
      <c r="I9" s="13"/>
    </row>
    <row r="10" spans="1:9" ht="21.5" thickBot="1">
      <c r="A10" s="32"/>
      <c r="B10" s="13"/>
      <c r="C10" s="13"/>
      <c r="D10" s="30"/>
      <c r="E10" s="38" t="s">
        <v>488</v>
      </c>
      <c r="F10" s="38"/>
      <c r="H10" s="13"/>
      <c r="I10" s="13"/>
    </row>
    <row r="11" spans="1:9" ht="21">
      <c r="A11" s="32"/>
      <c r="B11" s="13"/>
      <c r="I11" s="13"/>
    </row>
    <row r="12" spans="1:9" ht="17.5" thickBot="1">
      <c r="A12" s="35" t="s">
        <v>0</v>
      </c>
      <c r="B12" s="35" t="s">
        <v>0</v>
      </c>
      <c r="C12" s="35" t="s">
        <v>0</v>
      </c>
      <c r="D12" s="35" t="s">
        <v>0</v>
      </c>
      <c r="E12" s="35" t="s">
        <v>0</v>
      </c>
      <c r="F12" s="35"/>
      <c r="G12" s="35"/>
      <c r="H12" s="30"/>
      <c r="I12" s="30"/>
    </row>
    <row r="13" spans="1:9" ht="17.5">
      <c r="A13" s="92" t="s">
        <v>0</v>
      </c>
      <c r="B13" s="92" t="s">
        <v>3</v>
      </c>
      <c r="C13" s="92" t="s">
        <v>5</v>
      </c>
      <c r="D13" s="92" t="s">
        <v>190</v>
      </c>
      <c r="E13" s="186" t="s">
        <v>253</v>
      </c>
      <c r="F13" s="186" t="s">
        <v>357</v>
      </c>
      <c r="G13" s="92" t="s">
        <v>20</v>
      </c>
      <c r="H13" s="92" t="s">
        <v>166</v>
      </c>
      <c r="I13" s="92" t="s">
        <v>166</v>
      </c>
    </row>
    <row r="14" spans="1:9" ht="18" thickBot="1">
      <c r="A14" s="101" t="s">
        <v>2</v>
      </c>
      <c r="B14" s="101" t="s">
        <v>4</v>
      </c>
      <c r="C14" s="101" t="s">
        <v>6</v>
      </c>
      <c r="D14" s="101" t="s">
        <v>23</v>
      </c>
      <c r="E14" s="101" t="s">
        <v>358</v>
      </c>
      <c r="F14" s="101" t="s">
        <v>214</v>
      </c>
      <c r="G14" s="101" t="s">
        <v>22</v>
      </c>
      <c r="H14" s="101" t="s">
        <v>190</v>
      </c>
      <c r="I14" s="101" t="s">
        <v>138</v>
      </c>
    </row>
    <row r="15" spans="1:9" ht="15">
      <c r="A15" s="40" t="s">
        <v>7</v>
      </c>
      <c r="B15" s="40" t="s">
        <v>7</v>
      </c>
      <c r="C15" s="40" t="s">
        <v>7</v>
      </c>
      <c r="D15" s="40" t="s">
        <v>7</v>
      </c>
      <c r="E15" s="234" t="s">
        <v>489</v>
      </c>
      <c r="F15" s="234" t="s">
        <v>489</v>
      </c>
      <c r="G15" s="40" t="s">
        <v>7</v>
      </c>
      <c r="H15" s="40" t="s">
        <v>7</v>
      </c>
      <c r="I15" s="234" t="s">
        <v>489</v>
      </c>
    </row>
    <row r="16" spans="1:9" ht="17">
      <c r="A16" s="36"/>
      <c r="B16" s="36"/>
      <c r="C16" s="36"/>
      <c r="D16" s="36"/>
      <c r="G16" s="36"/>
      <c r="H16" s="36"/>
      <c r="I16" s="36"/>
    </row>
    <row r="17" spans="1:10" ht="17">
      <c r="A17" s="13"/>
      <c r="B17" s="13"/>
      <c r="C17" s="13"/>
      <c r="D17" s="13"/>
      <c r="G17" s="13"/>
      <c r="H17" s="13"/>
      <c r="I17" s="13"/>
    </row>
    <row r="18" spans="1:10" ht="20.25" customHeight="1">
      <c r="A18" s="65" t="str">
        <f>+'S&amp;D'!A22</f>
        <v>Atmos Energy Corp</v>
      </c>
      <c r="B18" s="92" t="str">
        <f>+'S&amp;D'!B22</f>
        <v>ATO</v>
      </c>
      <c r="C18" s="92" t="str">
        <f>+'S&amp;D'!C22</f>
        <v>Gas Utility</v>
      </c>
      <c r="D18" s="366">
        <v>0.15</v>
      </c>
      <c r="E18" s="143">
        <v>8.5000000000000006E-2</v>
      </c>
      <c r="F18" s="143">
        <v>4.4999999999999998E-2</v>
      </c>
      <c r="G18" s="92" t="s">
        <v>54</v>
      </c>
      <c r="H18" s="385">
        <v>0.85</v>
      </c>
      <c r="I18" s="385">
        <v>0.85</v>
      </c>
    </row>
    <row r="19" spans="1:10" ht="20.25" customHeight="1">
      <c r="A19" s="65" t="str">
        <f>+'S&amp;D'!A23</f>
        <v>Black Hills Corporation</v>
      </c>
      <c r="B19" s="92" t="str">
        <f>+'S&amp;D'!B23</f>
        <v>BKH</v>
      </c>
      <c r="C19" s="92" t="str">
        <f>+'S&amp;D'!C23</f>
        <v>Electric Utility - West</v>
      </c>
      <c r="D19" s="144">
        <v>8.5000000000000006E-2</v>
      </c>
      <c r="E19" s="143">
        <v>0.08</v>
      </c>
      <c r="F19" s="143">
        <v>2.5000000000000001E-2</v>
      </c>
      <c r="G19" s="92" t="s">
        <v>26</v>
      </c>
      <c r="H19" s="385">
        <v>1.05</v>
      </c>
      <c r="I19" s="385">
        <v>1.05</v>
      </c>
    </row>
    <row r="20" spans="1:10" ht="20.25" customHeight="1">
      <c r="A20" s="65" t="str">
        <f>+'S&amp;D'!A24</f>
        <v>CenterPoint Energy Inc.</v>
      </c>
      <c r="B20" s="92" t="str">
        <f>+'S&amp;D'!B24</f>
        <v>CNP</v>
      </c>
      <c r="C20" s="92" t="str">
        <f>+'S&amp;D'!C24</f>
        <v>Electric Utility - Central</v>
      </c>
      <c r="D20" s="144">
        <v>0.16</v>
      </c>
      <c r="E20" s="143">
        <v>0.09</v>
      </c>
      <c r="F20" s="143">
        <v>0.04</v>
      </c>
      <c r="G20" s="92" t="s">
        <v>26</v>
      </c>
      <c r="H20" s="385">
        <v>1.1499999999999999</v>
      </c>
      <c r="I20" s="385">
        <v>1.1499999999999999</v>
      </c>
    </row>
    <row r="21" spans="1:10" ht="20.25" customHeight="1">
      <c r="A21" s="65" t="str">
        <f>+'S&amp;D'!A25</f>
        <v>CMS Energy Corporation</v>
      </c>
      <c r="B21" s="92" t="str">
        <f>+'S&amp;D'!B25</f>
        <v>CMS</v>
      </c>
      <c r="C21" s="92" t="str">
        <f>+'S&amp;D'!C25</f>
        <v>Electric Utility - Central</v>
      </c>
      <c r="D21" s="144">
        <v>0.155</v>
      </c>
      <c r="E21" s="143">
        <v>0.12</v>
      </c>
      <c r="F21" s="143">
        <v>4.4999999999999998E-2</v>
      </c>
      <c r="G21" s="92" t="s">
        <v>24</v>
      </c>
      <c r="H21" s="385">
        <v>0.85</v>
      </c>
      <c r="I21" s="385">
        <v>0.85</v>
      </c>
    </row>
    <row r="22" spans="1:10" ht="20.25" customHeight="1">
      <c r="A22" s="65" t="str">
        <f>+'S&amp;D'!A26</f>
        <v>New Jersey Resources Corp</v>
      </c>
      <c r="B22" s="92" t="str">
        <f>+'S&amp;D'!B26</f>
        <v>NJR</v>
      </c>
      <c r="C22" s="92" t="str">
        <f>+'S&amp;D'!C26</f>
        <v>Gas Utility</v>
      </c>
      <c r="D22" s="144">
        <v>0.22</v>
      </c>
      <c r="E22" s="143">
        <v>0.125</v>
      </c>
      <c r="F22" s="143">
        <v>0.05</v>
      </c>
      <c r="G22" s="92" t="s">
        <v>24</v>
      </c>
      <c r="H22" s="385">
        <v>0.95</v>
      </c>
      <c r="I22" s="385">
        <v>0.95</v>
      </c>
    </row>
    <row r="23" spans="1:10" ht="20.25" customHeight="1">
      <c r="A23" s="65" t="str">
        <f>+'S&amp;D'!A27</f>
        <v>NISOURCE Inc.</v>
      </c>
      <c r="B23" s="92" t="str">
        <f>+'S&amp;D'!B27</f>
        <v>NI</v>
      </c>
      <c r="C23" s="92" t="str">
        <f>+'S&amp;D'!C27</f>
        <v>Gas Utility</v>
      </c>
      <c r="D23" s="144">
        <v>0.19</v>
      </c>
      <c r="E23" s="143">
        <v>8.5000000000000006E-2</v>
      </c>
      <c r="F23" s="143">
        <v>0.04</v>
      </c>
      <c r="G23" s="92" t="s">
        <v>26</v>
      </c>
      <c r="H23" s="385">
        <v>0.9</v>
      </c>
      <c r="I23" s="385">
        <v>0.9</v>
      </c>
    </row>
    <row r="24" spans="1:10" ht="20.25" customHeight="1">
      <c r="A24" s="65" t="str">
        <f>+'S&amp;D'!A28</f>
        <v xml:space="preserve">Northwest Natural Holding Company </v>
      </c>
      <c r="B24" s="92" t="str">
        <f>+'S&amp;D'!B28</f>
        <v>NWN</v>
      </c>
      <c r="C24" s="92" t="str">
        <f>+'S&amp;D'!C28</f>
        <v>Gas Utility</v>
      </c>
      <c r="D24" s="144">
        <v>0.25</v>
      </c>
      <c r="E24" s="143">
        <v>7.0000000000000007E-2</v>
      </c>
      <c r="F24" s="143">
        <v>0.02</v>
      </c>
      <c r="G24" s="92" t="s">
        <v>24</v>
      </c>
      <c r="H24" s="385">
        <v>0.85</v>
      </c>
      <c r="I24" s="385">
        <v>0.85</v>
      </c>
      <c r="J24" s="11" t="s">
        <v>0</v>
      </c>
    </row>
    <row r="25" spans="1:10" ht="20.25" customHeight="1">
      <c r="A25" s="65" t="str">
        <f>+'S&amp;D'!A29</f>
        <v>One Gas INC</v>
      </c>
      <c r="B25" s="92" t="str">
        <f>+'S&amp;D'!B29</f>
        <v>OGS</v>
      </c>
      <c r="C25" s="92" t="str">
        <f>+'S&amp;D'!C29</f>
        <v>Gas Utility</v>
      </c>
      <c r="D25" s="144">
        <v>0.155</v>
      </c>
      <c r="E25" s="143">
        <v>0.08</v>
      </c>
      <c r="F25" s="143">
        <v>0.03</v>
      </c>
      <c r="G25" s="92" t="s">
        <v>26</v>
      </c>
      <c r="H25" s="385">
        <v>0.85</v>
      </c>
      <c r="I25" s="385">
        <v>0.85</v>
      </c>
      <c r="J25" s="11"/>
    </row>
    <row r="26" spans="1:10" ht="20.25" customHeight="1">
      <c r="A26" s="65" t="str">
        <f>+'S&amp;D'!A30</f>
        <v>Southwest Gas Holdings, Inc</v>
      </c>
      <c r="B26" s="92" t="str">
        <f>+'S&amp;D'!B30</f>
        <v>SWX</v>
      </c>
      <c r="C26" s="92" t="str">
        <f>+'S&amp;D'!C30</f>
        <v>Gas Utility</v>
      </c>
      <c r="D26" s="144">
        <v>0.21</v>
      </c>
      <c r="E26" s="143">
        <v>6.5000000000000002E-2</v>
      </c>
      <c r="F26" s="143">
        <v>1.4999999999999999E-2</v>
      </c>
      <c r="G26" s="92" t="s">
        <v>24</v>
      </c>
      <c r="H26" s="385">
        <v>0.9</v>
      </c>
      <c r="I26" s="385">
        <v>0.9</v>
      </c>
      <c r="J26" s="11"/>
    </row>
    <row r="27" spans="1:10" ht="20.25" customHeight="1">
      <c r="A27" s="65" t="str">
        <f>+'S&amp;D'!A31</f>
        <v>Spire Inc / Laclede Group Inc</v>
      </c>
      <c r="B27" s="92" t="str">
        <f>+'S&amp;D'!B31</f>
        <v>SR</v>
      </c>
      <c r="C27" s="92" t="str">
        <f>+'S&amp;D'!C31</f>
        <v>Gas Utility</v>
      </c>
      <c r="D27" s="144">
        <v>0.18</v>
      </c>
      <c r="E27" s="143">
        <v>7.4999999999999997E-2</v>
      </c>
      <c r="F27" s="143">
        <v>1.4999999999999999E-2</v>
      </c>
      <c r="G27" s="92" t="s">
        <v>26</v>
      </c>
      <c r="H27" s="385">
        <v>0.85</v>
      </c>
      <c r="I27" s="385">
        <v>0.85</v>
      </c>
      <c r="J27" s="11" t="s">
        <v>0</v>
      </c>
    </row>
    <row r="28" spans="1:10" ht="20.25" customHeight="1" thickBot="1">
      <c r="A28" s="65" t="str">
        <f>+'S&amp;D'!A32</f>
        <v>WEC Energy Group</v>
      </c>
      <c r="B28" s="92" t="str">
        <f>+'S&amp;D'!B32</f>
        <v>WEC</v>
      </c>
      <c r="C28" s="92" t="str">
        <f>+'S&amp;D'!C32</f>
        <v>Electric Utility - Central</v>
      </c>
      <c r="D28" s="144">
        <v>0.19</v>
      </c>
      <c r="E28" s="143">
        <v>0.125</v>
      </c>
      <c r="F28" s="143">
        <v>0.04</v>
      </c>
      <c r="G28" s="92" t="s">
        <v>54</v>
      </c>
      <c r="H28" s="386">
        <v>0.85</v>
      </c>
      <c r="I28" s="386">
        <v>0.85</v>
      </c>
      <c r="J28" s="11"/>
    </row>
    <row r="29" spans="1:10" ht="20.25" customHeight="1" thickTop="1">
      <c r="A29" s="113"/>
      <c r="B29" s="113"/>
      <c r="C29" s="4"/>
      <c r="D29" s="184" t="s">
        <v>0</v>
      </c>
      <c r="E29" s="4"/>
      <c r="F29" s="4"/>
      <c r="G29" s="123" t="s">
        <v>56</v>
      </c>
      <c r="H29" s="382">
        <f>MAX(H18:H28)</f>
        <v>1.1499999999999999</v>
      </c>
      <c r="I29" s="382">
        <f>MAX(I18:I28)</f>
        <v>1.1499999999999999</v>
      </c>
    </row>
    <row r="30" spans="1:10" ht="20.25" customHeight="1">
      <c r="A30" s="113"/>
      <c r="B30" s="113"/>
      <c r="C30" s="4"/>
      <c r="D30" s="184" t="s">
        <v>0</v>
      </c>
      <c r="E30" s="4"/>
      <c r="F30" s="4"/>
      <c r="G30" s="123" t="s">
        <v>57</v>
      </c>
      <c r="H30" s="383">
        <f>MIN(H18:H28)</f>
        <v>0.85</v>
      </c>
      <c r="I30" s="383">
        <f>MIN(I18:I28)</f>
        <v>0.85</v>
      </c>
    </row>
    <row r="31" spans="1:10" ht="20.25" customHeight="1">
      <c r="A31" s="113"/>
      <c r="B31" s="113"/>
      <c r="C31" s="4"/>
      <c r="D31" s="185" t="s">
        <v>0</v>
      </c>
      <c r="E31" s="4"/>
      <c r="F31" s="4"/>
      <c r="G31" s="123" t="s">
        <v>18</v>
      </c>
      <c r="H31" s="384">
        <f>MEDIAN(H18:H28)</f>
        <v>0.85</v>
      </c>
      <c r="I31" s="384">
        <f>MEDIAN(I18:I28)</f>
        <v>0.85</v>
      </c>
    </row>
    <row r="32" spans="1:10" ht="20.25" customHeight="1">
      <c r="A32" s="113"/>
      <c r="B32" s="113"/>
      <c r="C32" s="4"/>
      <c r="D32" s="126" t="s">
        <v>0</v>
      </c>
      <c r="E32" s="4"/>
      <c r="F32" s="4"/>
      <c r="G32" s="123" t="s">
        <v>448</v>
      </c>
      <c r="H32" s="384">
        <f>AVERAGE(H18:H28)</f>
        <v>0.91363636363636358</v>
      </c>
      <c r="I32" s="384">
        <f>AVERAGE(I18:I28)</f>
        <v>0.91363636363636358</v>
      </c>
    </row>
    <row r="33" spans="1:9" ht="20.25" customHeight="1" thickBot="1">
      <c r="A33" s="13"/>
      <c r="B33" s="13"/>
      <c r="C33" s="13"/>
      <c r="D33" s="13"/>
      <c r="G33" s="13"/>
      <c r="H33" s="14"/>
      <c r="I33" s="14"/>
    </row>
    <row r="34" spans="1:9" ht="20.25" customHeight="1" thickBot="1">
      <c r="A34" s="13"/>
      <c r="B34" s="13"/>
      <c r="C34" s="13"/>
      <c r="D34" s="13"/>
      <c r="G34" s="13"/>
      <c r="H34" s="208" t="s">
        <v>92</v>
      </c>
      <c r="I34" s="304">
        <v>0.91</v>
      </c>
    </row>
    <row r="37" spans="1:9" ht="17.5">
      <c r="A37" s="113" t="s">
        <v>359</v>
      </c>
    </row>
    <row r="38" spans="1:9" ht="17.5">
      <c r="A38" s="113" t="s">
        <v>360</v>
      </c>
    </row>
  </sheetData>
  <pageMargins left="0.25" right="0.25" top="0.75" bottom="0.75" header="0.3" footer="0.3"/>
  <pageSetup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34"/>
  <sheetViews>
    <sheetView view="pageBreakPreview" zoomScale="60" zoomScaleNormal="80" workbookViewId="0">
      <selection activeCell="F23" sqref="F23"/>
    </sheetView>
  </sheetViews>
  <sheetFormatPr defaultRowHeight="14.5"/>
  <cols>
    <col min="1" max="1" width="50.453125" customWidth="1"/>
    <col min="2" max="2" width="10.81640625" bestFit="1" customWidth="1"/>
    <col min="3" max="3" width="28.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5" t="s">
        <v>1</v>
      </c>
      <c r="B1" s="13"/>
      <c r="C1" s="13"/>
      <c r="D1" s="13"/>
      <c r="E1" s="13"/>
      <c r="F1" s="13"/>
      <c r="G1" s="13"/>
      <c r="H1" s="13"/>
      <c r="I1" s="13"/>
      <c r="J1" s="13"/>
    </row>
    <row r="2" spans="1:11" ht="17.5">
      <c r="A2" s="26" t="s">
        <v>9</v>
      </c>
      <c r="B2" s="13"/>
      <c r="C2" s="13"/>
      <c r="D2" s="13"/>
      <c r="E2" s="13"/>
      <c r="F2" s="13"/>
      <c r="G2" s="13"/>
      <c r="H2" s="13"/>
      <c r="I2" s="13"/>
      <c r="J2" s="13"/>
    </row>
    <row r="3" spans="1:11" ht="17">
      <c r="A3" s="27" t="s">
        <v>487</v>
      </c>
      <c r="B3" s="13"/>
      <c r="C3" s="13"/>
      <c r="D3" s="13"/>
      <c r="E3" s="13"/>
      <c r="F3" s="13"/>
      <c r="G3" s="13"/>
      <c r="H3" s="13"/>
      <c r="I3" s="13"/>
      <c r="J3" s="13"/>
    </row>
    <row r="4" spans="1:11" ht="17">
      <c r="A4" s="27"/>
      <c r="B4" s="13"/>
      <c r="C4" s="13"/>
      <c r="D4" s="13"/>
      <c r="E4" s="13"/>
      <c r="F4" s="13"/>
      <c r="G4" s="13"/>
      <c r="H4" s="13"/>
      <c r="I4" s="13"/>
      <c r="J4" s="13"/>
    </row>
    <row r="5" spans="1:11" ht="17.5" thickBot="1">
      <c r="A5" s="13"/>
      <c r="B5" s="13"/>
      <c r="C5" s="13"/>
      <c r="D5" s="13"/>
      <c r="E5" s="13"/>
      <c r="F5" s="13"/>
      <c r="G5" s="28"/>
      <c r="H5" s="13"/>
      <c r="I5" s="13"/>
      <c r="J5" s="13"/>
    </row>
    <row r="6" spans="1:11" ht="21.5" thickBot="1">
      <c r="A6" s="272" t="str">
        <f>+'S&amp;D'!A12</f>
        <v>Natural Gas Utility Distribution</v>
      </c>
      <c r="B6" s="202"/>
      <c r="C6" s="13"/>
      <c r="D6" s="30"/>
      <c r="E6" s="30"/>
      <c r="F6" s="31" t="s">
        <v>0</v>
      </c>
      <c r="G6" s="13"/>
      <c r="H6" s="13"/>
      <c r="I6" s="13"/>
      <c r="J6" s="13"/>
    </row>
    <row r="7" spans="1:11" ht="25.5">
      <c r="A7" s="32"/>
      <c r="B7" s="13"/>
      <c r="C7" s="13"/>
      <c r="D7" s="13"/>
      <c r="E7" s="33" t="s">
        <v>191</v>
      </c>
      <c r="F7" s="13"/>
      <c r="G7" s="13"/>
      <c r="H7" s="13"/>
      <c r="I7" s="13"/>
      <c r="J7" s="13"/>
    </row>
    <row r="8" spans="1:11" ht="21.5" thickBot="1">
      <c r="A8" s="32"/>
      <c r="B8" s="13"/>
      <c r="C8" s="13"/>
      <c r="D8" s="30"/>
      <c r="E8" s="38" t="s">
        <v>488</v>
      </c>
      <c r="F8" s="30"/>
      <c r="G8" s="13"/>
      <c r="H8" s="13"/>
      <c r="I8" s="13"/>
      <c r="J8" s="13"/>
    </row>
    <row r="9" spans="1:11" ht="17.5" thickBot="1">
      <c r="A9" s="35" t="s">
        <v>0</v>
      </c>
      <c r="B9" s="35" t="s">
        <v>0</v>
      </c>
      <c r="C9" s="35" t="s">
        <v>0</v>
      </c>
      <c r="D9" s="35" t="s">
        <v>0</v>
      </c>
      <c r="E9" s="35" t="s">
        <v>0</v>
      </c>
      <c r="F9" s="35"/>
      <c r="G9" s="30"/>
      <c r="H9" s="30"/>
      <c r="I9" s="30"/>
      <c r="J9" s="30"/>
      <c r="K9" s="157"/>
    </row>
    <row r="10" spans="1:11" ht="17">
      <c r="A10" s="36" t="s">
        <v>0</v>
      </c>
      <c r="B10" s="36" t="s">
        <v>3</v>
      </c>
      <c r="C10" s="36" t="s">
        <v>5</v>
      </c>
      <c r="D10" s="36" t="s">
        <v>186</v>
      </c>
      <c r="E10" s="36" t="s">
        <v>187</v>
      </c>
      <c r="F10" s="36" t="s">
        <v>189</v>
      </c>
      <c r="G10" s="36" t="s">
        <v>187</v>
      </c>
      <c r="H10" s="36" t="s">
        <v>189</v>
      </c>
      <c r="I10" s="36" t="s">
        <v>187</v>
      </c>
      <c r="J10" s="36" t="s">
        <v>189</v>
      </c>
      <c r="K10" s="36" t="s">
        <v>297</v>
      </c>
    </row>
    <row r="11" spans="1:11" ht="17">
      <c r="A11" s="36"/>
      <c r="B11" s="36" t="s">
        <v>4</v>
      </c>
      <c r="C11" s="36" t="s">
        <v>6</v>
      </c>
      <c r="D11" s="36" t="s">
        <v>28</v>
      </c>
      <c r="E11" s="36" t="s">
        <v>188</v>
      </c>
      <c r="F11" s="36" t="s">
        <v>139</v>
      </c>
      <c r="G11" s="36" t="s">
        <v>188</v>
      </c>
      <c r="H11" s="36" t="s">
        <v>139</v>
      </c>
      <c r="I11" s="36" t="s">
        <v>188</v>
      </c>
      <c r="J11" s="36" t="s">
        <v>139</v>
      </c>
      <c r="K11" s="36" t="s">
        <v>205</v>
      </c>
    </row>
    <row r="12" spans="1:11" ht="17.5" thickBot="1">
      <c r="A12" s="38" t="s">
        <v>2</v>
      </c>
      <c r="B12" s="38" t="s">
        <v>0</v>
      </c>
      <c r="C12" s="38" t="s">
        <v>0</v>
      </c>
      <c r="D12" s="38" t="s">
        <v>0</v>
      </c>
      <c r="E12" s="38" t="s">
        <v>190</v>
      </c>
      <c r="F12" s="38" t="s">
        <v>190</v>
      </c>
      <c r="G12" s="38" t="s">
        <v>295</v>
      </c>
      <c r="H12" s="38" t="s">
        <v>295</v>
      </c>
      <c r="I12" s="38" t="s">
        <v>296</v>
      </c>
      <c r="J12" s="38" t="s">
        <v>296</v>
      </c>
      <c r="K12" s="235" t="s">
        <v>298</v>
      </c>
    </row>
    <row r="13" spans="1:11" ht="15">
      <c r="A13" s="40" t="s">
        <v>7</v>
      </c>
      <c r="B13" s="40" t="s">
        <v>7</v>
      </c>
      <c r="C13" s="40" t="s">
        <v>7</v>
      </c>
      <c r="D13" s="41" t="s">
        <v>132</v>
      </c>
      <c r="E13" s="40" t="s">
        <v>7</v>
      </c>
      <c r="F13" s="40" t="s">
        <v>0</v>
      </c>
      <c r="G13" s="40" t="s">
        <v>7</v>
      </c>
      <c r="H13" s="40" t="s">
        <v>0</v>
      </c>
      <c r="I13" s="40" t="s">
        <v>7</v>
      </c>
      <c r="J13" s="40" t="s">
        <v>0</v>
      </c>
      <c r="K13" s="40" t="s">
        <v>0</v>
      </c>
    </row>
    <row r="14" spans="1:11" ht="17">
      <c r="A14" s="36"/>
      <c r="B14" s="36"/>
      <c r="C14" s="36"/>
      <c r="D14" s="36"/>
      <c r="E14" s="36"/>
      <c r="F14" s="36"/>
      <c r="G14" s="13"/>
      <c r="H14" s="13"/>
      <c r="I14" s="13"/>
      <c r="J14" s="13"/>
      <c r="K14" s="13"/>
    </row>
    <row r="15" spans="1:11" ht="17">
      <c r="A15" s="13"/>
      <c r="B15" s="13"/>
      <c r="C15" s="13"/>
      <c r="D15" s="13"/>
      <c r="E15" s="13"/>
      <c r="F15" s="13"/>
      <c r="G15" s="13"/>
      <c r="H15" s="13"/>
      <c r="I15" s="13"/>
      <c r="J15" s="13"/>
      <c r="K15" s="13"/>
    </row>
    <row r="16" spans="1:11" ht="17.5">
      <c r="A16" s="65" t="str">
        <f>+'S&amp;D'!A22</f>
        <v>Atmos Energy Corp</v>
      </c>
      <c r="B16" s="92" t="str">
        <f>+'S&amp;D'!B22</f>
        <v>ATO</v>
      </c>
      <c r="C16" s="92" t="str">
        <f>+'S&amp;D'!C22</f>
        <v>Gas Utility</v>
      </c>
      <c r="D16" s="62">
        <f>+'S&amp;D'!G22</f>
        <v>115.9</v>
      </c>
      <c r="E16" s="354">
        <v>3.22</v>
      </c>
      <c r="F16" s="56">
        <f>+E16/D16</f>
        <v>2.7782571182053496E-2</v>
      </c>
      <c r="G16" s="354">
        <v>3.46</v>
      </c>
      <c r="H16" s="56">
        <f>+G16/D16</f>
        <v>2.985332182916307E-2</v>
      </c>
      <c r="I16" s="354">
        <v>4.25</v>
      </c>
      <c r="J16" s="56">
        <f>+I16/D16</f>
        <v>3.6669542709232096E-2</v>
      </c>
      <c r="K16" s="367">
        <f>RATE(3,,-G16,I16)</f>
        <v>7.0954311925597105E-2</v>
      </c>
    </row>
    <row r="17" spans="1:11" ht="17.5">
      <c r="A17" s="65" t="str">
        <f>+'S&amp;D'!A23</f>
        <v>Black Hills Corporation</v>
      </c>
      <c r="B17" s="92" t="str">
        <f>+'S&amp;D'!B23</f>
        <v>BKH</v>
      </c>
      <c r="C17" s="92" t="str">
        <f>+'S&amp;D'!C23</f>
        <v>Electric Utility - West</v>
      </c>
      <c r="D17" s="62">
        <f>+'S&amp;D'!G23</f>
        <v>53.95</v>
      </c>
      <c r="E17" s="354">
        <v>2.6</v>
      </c>
      <c r="F17" s="56">
        <f t="shared" ref="F17:F26" si="0">+E17/D17</f>
        <v>4.8192771084337352E-2</v>
      </c>
      <c r="G17" s="354">
        <v>2.7</v>
      </c>
      <c r="H17" s="56">
        <f t="shared" ref="H17:H26" si="1">+G17/D17</f>
        <v>5.0046339202965709E-2</v>
      </c>
      <c r="I17" s="354">
        <v>3</v>
      </c>
      <c r="J17" s="56">
        <f t="shared" ref="J17:J26" si="2">+I17/D17</f>
        <v>5.5607043558850787E-2</v>
      </c>
      <c r="K17" s="367">
        <f>RATE(3,,-G17,I17)</f>
        <v>3.5744168651286448E-2</v>
      </c>
    </row>
    <row r="18" spans="1:11" ht="17.5">
      <c r="A18" s="65" t="str">
        <f>+'S&amp;D'!A24</f>
        <v>CenterPoint Energy Inc.</v>
      </c>
      <c r="B18" s="92" t="str">
        <f>+'S&amp;D'!B24</f>
        <v>CNP</v>
      </c>
      <c r="C18" s="92" t="str">
        <f>+'S&amp;D'!C24</f>
        <v>Electric Utility - Central</v>
      </c>
      <c r="D18" s="62">
        <f>+'S&amp;D'!G24</f>
        <v>28.57</v>
      </c>
      <c r="E18" s="354">
        <v>0.83</v>
      </c>
      <c r="F18" s="56">
        <f t="shared" si="0"/>
        <v>2.905145257262863E-2</v>
      </c>
      <c r="G18" s="354">
        <v>0.89</v>
      </c>
      <c r="H18" s="56">
        <f t="shared" si="1"/>
        <v>3.1151557577878894E-2</v>
      </c>
      <c r="I18" s="354">
        <v>0.95</v>
      </c>
      <c r="J18" s="56">
        <f t="shared" si="2"/>
        <v>3.3251662583129157E-2</v>
      </c>
      <c r="K18" s="367">
        <f t="shared" ref="K18:K26" si="3">RATE(3,,-G18,I18)</f>
        <v>2.1985026625486653E-2</v>
      </c>
    </row>
    <row r="19" spans="1:11" ht="17.5">
      <c r="A19" s="65" t="str">
        <f>+'S&amp;D'!A25</f>
        <v>CMS Energy Corporation</v>
      </c>
      <c r="B19" s="92" t="str">
        <f>+'S&amp;D'!B25</f>
        <v>CMS</v>
      </c>
      <c r="C19" s="92" t="str">
        <f>+'S&amp;D'!C25</f>
        <v>Electric Utility - Central</v>
      </c>
      <c r="D19" s="62">
        <f>+'S&amp;D'!G25</f>
        <v>58.07</v>
      </c>
      <c r="E19" s="354">
        <v>2.06</v>
      </c>
      <c r="F19" s="56">
        <f t="shared" si="0"/>
        <v>3.5474427415188567E-2</v>
      </c>
      <c r="G19" s="354">
        <v>2.16</v>
      </c>
      <c r="H19" s="56">
        <f t="shared" si="1"/>
        <v>3.719648699845015E-2</v>
      </c>
      <c r="I19" s="354">
        <v>2.2999999999999998</v>
      </c>
      <c r="J19" s="56">
        <f t="shared" si="2"/>
        <v>3.9607370415016357E-2</v>
      </c>
      <c r="K19" s="367">
        <f t="shared" si="3"/>
        <v>2.1154279204738204E-2</v>
      </c>
    </row>
    <row r="20" spans="1:11" ht="17.5">
      <c r="A20" s="65" t="str">
        <f>+'S&amp;D'!A26</f>
        <v>New Jersey Resources Corp</v>
      </c>
      <c r="B20" s="92" t="str">
        <f>+'S&amp;D'!B26</f>
        <v>NJR</v>
      </c>
      <c r="C20" s="92" t="str">
        <f>+'S&amp;D'!C26</f>
        <v>Gas Utility</v>
      </c>
      <c r="D20" s="62">
        <f>+'S&amp;D'!G26</f>
        <v>44.58</v>
      </c>
      <c r="E20" s="354">
        <v>1.68</v>
      </c>
      <c r="F20" s="56">
        <f t="shared" si="0"/>
        <v>3.7685060565275909E-2</v>
      </c>
      <c r="G20" s="354">
        <v>1.76</v>
      </c>
      <c r="H20" s="56">
        <f t="shared" si="1"/>
        <v>3.9479587258860478E-2</v>
      </c>
      <c r="I20" s="354">
        <v>1.95</v>
      </c>
      <c r="J20" s="56">
        <f t="shared" si="2"/>
        <v>4.374158815612382E-2</v>
      </c>
      <c r="K20" s="367">
        <f t="shared" si="3"/>
        <v>3.4762420035813479E-2</v>
      </c>
    </row>
    <row r="21" spans="1:11" ht="17.5">
      <c r="A21" s="65" t="str">
        <f>+'S&amp;D'!A27</f>
        <v>NISOURCE Inc.</v>
      </c>
      <c r="B21" s="92" t="str">
        <f>+'S&amp;D'!B27</f>
        <v>NI</v>
      </c>
      <c r="C21" s="92" t="str">
        <f>+'S&amp;D'!C27</f>
        <v>Gas Utility</v>
      </c>
      <c r="D21" s="62">
        <f>+'S&amp;D'!G27</f>
        <v>26.55</v>
      </c>
      <c r="E21" s="354">
        <v>1.06</v>
      </c>
      <c r="F21" s="56">
        <f t="shared" si="0"/>
        <v>3.9924670433145008E-2</v>
      </c>
      <c r="G21" s="354">
        <v>1.1200000000000001</v>
      </c>
      <c r="H21" s="56">
        <f t="shared" si="1"/>
        <v>4.2184557438794727E-2</v>
      </c>
      <c r="I21" s="354">
        <v>1.2</v>
      </c>
      <c r="J21" s="56">
        <f t="shared" si="2"/>
        <v>4.519774011299435E-2</v>
      </c>
      <c r="K21" s="367">
        <f t="shared" si="3"/>
        <v>2.3264108093814507E-2</v>
      </c>
    </row>
    <row r="22" spans="1:11" ht="17.5">
      <c r="A22" s="65" t="str">
        <f>+'S&amp;D'!A28</f>
        <v xml:space="preserve">Northwest Natural Holding Company </v>
      </c>
      <c r="B22" s="92" t="str">
        <f>+'S&amp;D'!B28</f>
        <v>NWN</v>
      </c>
      <c r="C22" s="92" t="str">
        <f>+'S&amp;D'!C28</f>
        <v>Gas Utility</v>
      </c>
      <c r="D22" s="62">
        <f>+'S&amp;D'!G28</f>
        <v>38.94</v>
      </c>
      <c r="E22" s="354">
        <v>1.95</v>
      </c>
      <c r="F22" s="56">
        <f t="shared" si="0"/>
        <v>5.007704160246533E-2</v>
      </c>
      <c r="G22" s="354">
        <v>1.96</v>
      </c>
      <c r="H22" s="56">
        <f t="shared" si="1"/>
        <v>5.0333846944016436E-2</v>
      </c>
      <c r="I22" s="354">
        <v>1.98</v>
      </c>
      <c r="J22" s="56">
        <f t="shared" si="2"/>
        <v>5.0847457627118647E-2</v>
      </c>
      <c r="K22" s="387">
        <f t="shared" si="3"/>
        <v>3.3898564331861156E-3</v>
      </c>
    </row>
    <row r="23" spans="1:11" ht="17.5">
      <c r="A23" s="65" t="str">
        <f>+'S&amp;D'!A29</f>
        <v>One Gas INC</v>
      </c>
      <c r="B23" s="92" t="str">
        <f>+'S&amp;D'!B29</f>
        <v>OGS</v>
      </c>
      <c r="C23" s="92" t="str">
        <f>+'S&amp;D'!C29</f>
        <v>Gas Utility</v>
      </c>
      <c r="D23" s="62">
        <f>+'S&amp;D'!G29</f>
        <v>63.72</v>
      </c>
      <c r="E23" s="354">
        <v>2.64</v>
      </c>
      <c r="F23" s="56">
        <f t="shared" si="0"/>
        <v>4.1431261770244823E-2</v>
      </c>
      <c r="G23" s="354">
        <v>2.68</v>
      </c>
      <c r="H23" s="56">
        <f t="shared" si="1"/>
        <v>4.2059008160703078E-2</v>
      </c>
      <c r="I23" s="354">
        <v>2.85</v>
      </c>
      <c r="J23" s="56">
        <f t="shared" si="2"/>
        <v>4.4726930320150661E-2</v>
      </c>
      <c r="K23" s="367">
        <f t="shared" si="3"/>
        <v>2.0712316682879227E-2</v>
      </c>
    </row>
    <row r="24" spans="1:11" ht="17.5">
      <c r="A24" s="65" t="str">
        <f>+'S&amp;D'!A30</f>
        <v>Southwest Gas Holdings, Inc</v>
      </c>
      <c r="B24" s="92" t="str">
        <f>+'S&amp;D'!B30</f>
        <v>SWX</v>
      </c>
      <c r="C24" s="92" t="str">
        <f>+'S&amp;D'!C30</f>
        <v>Gas Utility</v>
      </c>
      <c r="D24" s="62">
        <f>+'S&amp;D'!G30</f>
        <v>63.35</v>
      </c>
      <c r="E24" s="354">
        <v>2.48</v>
      </c>
      <c r="F24" s="56">
        <f t="shared" si="0"/>
        <v>3.9147592738752957E-2</v>
      </c>
      <c r="G24" s="354">
        <v>2.52</v>
      </c>
      <c r="H24" s="56">
        <f t="shared" si="1"/>
        <v>3.9779005524861875E-2</v>
      </c>
      <c r="I24" s="354">
        <v>2.6</v>
      </c>
      <c r="J24" s="56">
        <f t="shared" si="2"/>
        <v>4.1041831097079713E-2</v>
      </c>
      <c r="K24" s="367">
        <f t="shared" si="3"/>
        <v>1.0471965723442689E-2</v>
      </c>
    </row>
    <row r="25" spans="1:11" ht="17.5">
      <c r="A25" s="65" t="str">
        <f>+'S&amp;D'!A31</f>
        <v>Spire Inc / Laclede Group Inc</v>
      </c>
      <c r="B25" s="92" t="str">
        <f>+'S&amp;D'!B31</f>
        <v>SR</v>
      </c>
      <c r="C25" s="92" t="str">
        <f>+'S&amp;D'!C31</f>
        <v>Gas Utility</v>
      </c>
      <c r="D25" s="62">
        <f>+'S&amp;D'!G31</f>
        <v>62.34</v>
      </c>
      <c r="E25" s="354">
        <v>3.02</v>
      </c>
      <c r="F25" s="56">
        <f t="shared" si="0"/>
        <v>4.844401668270773E-2</v>
      </c>
      <c r="G25" s="354">
        <v>3.16</v>
      </c>
      <c r="H25" s="56">
        <f t="shared" si="1"/>
        <v>5.0689765800449149E-2</v>
      </c>
      <c r="I25" s="354">
        <v>3.6</v>
      </c>
      <c r="J25" s="56">
        <f t="shared" si="2"/>
        <v>5.7747834456207889E-2</v>
      </c>
      <c r="K25" s="367">
        <f t="shared" si="3"/>
        <v>4.4411886848709871E-2</v>
      </c>
    </row>
    <row r="26" spans="1:11" ht="17.5">
      <c r="A26" s="65" t="str">
        <f>+'S&amp;D'!A32</f>
        <v>WEC Energy Group</v>
      </c>
      <c r="B26" s="92" t="str">
        <f>+'S&amp;D'!B32</f>
        <v>WEC</v>
      </c>
      <c r="C26" s="92" t="str">
        <f>+'S&amp;D'!C32</f>
        <v>Electric Utility - Central</v>
      </c>
      <c r="D26" s="62">
        <f>+'S&amp;D'!G32</f>
        <v>84.17</v>
      </c>
      <c r="E26" s="354">
        <v>3.34</v>
      </c>
      <c r="F26" s="56">
        <f t="shared" si="0"/>
        <v>3.9681596768444814E-2</v>
      </c>
      <c r="G26" s="354">
        <v>3.57</v>
      </c>
      <c r="H26" s="56">
        <f t="shared" si="1"/>
        <v>4.2414161815373642E-2</v>
      </c>
      <c r="I26" s="354">
        <v>3.83</v>
      </c>
      <c r="J26" s="56">
        <f t="shared" si="2"/>
        <v>4.5503148390162763E-2</v>
      </c>
      <c r="K26" s="367">
        <f t="shared" si="3"/>
        <v>2.3709780671110185E-2</v>
      </c>
    </row>
    <row r="27" spans="1:11" ht="17.5" thickBot="1">
      <c r="A27" s="13"/>
      <c r="B27" s="13"/>
      <c r="C27" s="45"/>
      <c r="D27" s="48"/>
      <c r="E27" s="48"/>
      <c r="F27" s="48"/>
      <c r="G27" s="48"/>
      <c r="H27" s="48"/>
      <c r="I27" s="48"/>
      <c r="J27" s="48"/>
      <c r="K27" s="48"/>
    </row>
    <row r="28" spans="1:11" ht="17.5" thickTop="1">
      <c r="A28" s="13"/>
      <c r="B28" s="13"/>
      <c r="D28" s="15" t="s">
        <v>56</v>
      </c>
      <c r="E28" s="17">
        <f>MAX(E16:E26)</f>
        <v>3.34</v>
      </c>
      <c r="F28" s="301">
        <f t="shared" ref="F28:K28" si="4">MAX(F16:F26)</f>
        <v>5.007704160246533E-2</v>
      </c>
      <c r="G28" s="17">
        <f t="shared" si="4"/>
        <v>3.57</v>
      </c>
      <c r="H28" s="301">
        <f t="shared" si="4"/>
        <v>5.0689765800449149E-2</v>
      </c>
      <c r="I28" s="17">
        <f t="shared" si="4"/>
        <v>4.25</v>
      </c>
      <c r="J28" s="301">
        <f t="shared" si="4"/>
        <v>5.7747834456207889E-2</v>
      </c>
      <c r="K28" s="301">
        <f t="shared" si="4"/>
        <v>7.0954311925597105E-2</v>
      </c>
    </row>
    <row r="29" spans="1:11" ht="17">
      <c r="A29" s="13"/>
      <c r="B29" s="13"/>
      <c r="D29" s="15" t="s">
        <v>57</v>
      </c>
      <c r="E29" s="305">
        <f>MIN(E16:E26)</f>
        <v>0.83</v>
      </c>
      <c r="F29" s="302">
        <f t="shared" ref="F29:K29" si="5">MIN(F16:F26)</f>
        <v>2.7782571182053496E-2</v>
      </c>
      <c r="G29" s="305">
        <f t="shared" si="5"/>
        <v>0.89</v>
      </c>
      <c r="H29" s="302">
        <f t="shared" si="5"/>
        <v>2.985332182916307E-2</v>
      </c>
      <c r="I29" s="305">
        <f t="shared" si="5"/>
        <v>0.95</v>
      </c>
      <c r="J29" s="302">
        <f t="shared" si="5"/>
        <v>3.3251662583129157E-2</v>
      </c>
      <c r="K29" s="302">
        <f t="shared" si="5"/>
        <v>3.3898564331861156E-3</v>
      </c>
    </row>
    <row r="30" spans="1:11" ht="17">
      <c r="A30" s="13"/>
      <c r="B30" s="13"/>
      <c r="D30" s="15" t="s">
        <v>18</v>
      </c>
      <c r="E30" s="18">
        <f t="shared" ref="E30:K30" si="6">MEDIAN(E16:E26)</f>
        <v>2.48</v>
      </c>
      <c r="F30" s="57">
        <f t="shared" si="6"/>
        <v>3.9681596768444814E-2</v>
      </c>
      <c r="G30" s="18">
        <f t="shared" si="6"/>
        <v>2.52</v>
      </c>
      <c r="H30" s="57">
        <f t="shared" si="6"/>
        <v>4.2059008160703078E-2</v>
      </c>
      <c r="I30" s="18">
        <f t="shared" si="6"/>
        <v>2.6</v>
      </c>
      <c r="J30" s="57">
        <f t="shared" si="6"/>
        <v>4.4726930320150661E-2</v>
      </c>
      <c r="K30" s="57">
        <f t="shared" si="6"/>
        <v>2.3264108093814507E-2</v>
      </c>
    </row>
    <row r="31" spans="1:11" ht="17">
      <c r="A31" s="13"/>
      <c r="B31" s="13"/>
      <c r="D31" s="15" t="s">
        <v>448</v>
      </c>
      <c r="E31" s="22">
        <f t="shared" ref="E31:K31" si="7">AVERAGE(E16:E26)</f>
        <v>2.2618181818181817</v>
      </c>
      <c r="F31" s="59">
        <f t="shared" si="7"/>
        <v>3.9717496619567687E-2</v>
      </c>
      <c r="G31" s="22">
        <f t="shared" si="7"/>
        <v>2.3618181818181818</v>
      </c>
      <c r="H31" s="59">
        <f t="shared" si="7"/>
        <v>4.1380694413774295E-2</v>
      </c>
      <c r="I31" s="22">
        <f t="shared" si="7"/>
        <v>2.5918181818181822</v>
      </c>
      <c r="J31" s="59">
        <f t="shared" si="7"/>
        <v>4.4903831766006021E-2</v>
      </c>
      <c r="K31" s="59">
        <f t="shared" si="7"/>
        <v>2.823273826327859E-2</v>
      </c>
    </row>
    <row r="32" spans="1:11" ht="17">
      <c r="A32" s="13"/>
      <c r="B32" s="13"/>
      <c r="C32" s="13"/>
      <c r="D32" s="13"/>
      <c r="E32" s="13"/>
      <c r="F32" s="13"/>
      <c r="G32" s="13"/>
      <c r="H32" s="13"/>
      <c r="I32" s="13"/>
      <c r="J32" s="13"/>
      <c r="K32" s="13"/>
    </row>
    <row r="33" spans="1:11" ht="25.5">
      <c r="A33" s="13"/>
      <c r="B33" s="13"/>
      <c r="C33" s="13"/>
      <c r="D33" s="13"/>
      <c r="E33" s="13"/>
      <c r="F33" s="51" t="s">
        <v>0</v>
      </c>
      <c r="G33" s="66" t="s">
        <v>0</v>
      </c>
      <c r="H33" s="13"/>
      <c r="I33" s="13"/>
      <c r="J33" s="13"/>
      <c r="K33" s="13"/>
    </row>
    <row r="34" spans="1:11" ht="18.5">
      <c r="A34" s="236" t="s">
        <v>299</v>
      </c>
    </row>
  </sheetData>
  <pageMargins left="0.25" right="0.25" top="0.75" bottom="0.75" header="0.3" footer="0.3"/>
  <pageSetup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4"/>
  <sheetViews>
    <sheetView view="pageBreakPreview" zoomScale="60" zoomScaleNormal="80" workbookViewId="0">
      <selection activeCell="I16" sqref="I16:I26"/>
    </sheetView>
  </sheetViews>
  <sheetFormatPr defaultRowHeight="14.5"/>
  <cols>
    <col min="1" max="1" width="51.54296875" customWidth="1"/>
    <col min="2" max="2" width="10.81640625" bestFit="1" customWidth="1"/>
    <col min="3" max="3" width="23.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5" t="s">
        <v>1</v>
      </c>
      <c r="B1" s="13"/>
      <c r="C1" s="13"/>
      <c r="D1" s="13"/>
      <c r="E1" s="13"/>
      <c r="F1" s="13"/>
      <c r="G1" s="13"/>
      <c r="H1" s="13"/>
      <c r="I1" s="13"/>
      <c r="J1" s="13"/>
    </row>
    <row r="2" spans="1:11" ht="17.5">
      <c r="A2" s="26" t="s">
        <v>9</v>
      </c>
      <c r="B2" s="13"/>
      <c r="C2" s="13"/>
      <c r="D2" s="13"/>
      <c r="E2" s="13"/>
      <c r="F2" s="13"/>
      <c r="G2" s="13"/>
      <c r="H2" s="13"/>
      <c r="I2" s="13"/>
      <c r="J2" s="13"/>
    </row>
    <row r="3" spans="1:11" ht="17">
      <c r="A3" s="27" t="s">
        <v>487</v>
      </c>
      <c r="B3" s="13"/>
      <c r="C3" s="13"/>
      <c r="D3" s="13"/>
      <c r="E3" s="13"/>
      <c r="F3" s="13"/>
      <c r="G3" s="13"/>
      <c r="H3" s="13"/>
      <c r="I3" s="13"/>
      <c r="J3" s="13"/>
    </row>
    <row r="4" spans="1:11" ht="17">
      <c r="A4" s="27"/>
      <c r="B4" s="13"/>
      <c r="C4" s="13"/>
      <c r="D4" s="13"/>
      <c r="E4" s="13"/>
      <c r="F4" s="13"/>
      <c r="G4" s="13"/>
      <c r="H4" s="13"/>
      <c r="I4" s="13"/>
      <c r="J4" s="13"/>
    </row>
    <row r="5" spans="1:11" ht="17.5" thickBot="1">
      <c r="A5" s="13"/>
      <c r="B5" s="13"/>
      <c r="C5" s="13"/>
      <c r="D5" s="13"/>
      <c r="E5" s="13"/>
      <c r="F5" s="13"/>
      <c r="G5" s="28"/>
      <c r="H5" s="13"/>
      <c r="I5" s="13"/>
      <c r="J5" s="13"/>
    </row>
    <row r="6" spans="1:11" ht="21.5" thickBot="1">
      <c r="A6" s="272" t="str">
        <f>+'S&amp;D'!A12</f>
        <v>Natural Gas Utility Distribution</v>
      </c>
      <c r="B6" s="202"/>
      <c r="C6" s="13"/>
      <c r="D6" s="30"/>
      <c r="E6" s="30"/>
      <c r="F6" s="31" t="s">
        <v>0</v>
      </c>
      <c r="G6" s="13"/>
      <c r="H6" s="13"/>
      <c r="I6" s="13"/>
      <c r="J6" s="13"/>
    </row>
    <row r="7" spans="1:11" ht="25.5">
      <c r="A7" s="32"/>
      <c r="B7" s="13"/>
      <c r="C7" s="13"/>
      <c r="D7" s="13"/>
      <c r="E7" s="33" t="s">
        <v>300</v>
      </c>
      <c r="F7" s="13"/>
      <c r="G7" s="13"/>
      <c r="H7" s="13"/>
      <c r="I7" s="13"/>
      <c r="J7" s="13"/>
    </row>
    <row r="8" spans="1:11" ht="21.5" thickBot="1">
      <c r="A8" s="32"/>
      <c r="B8" s="13"/>
      <c r="C8" s="13"/>
      <c r="D8" s="30"/>
      <c r="E8" s="38" t="s">
        <v>488</v>
      </c>
      <c r="F8" s="30"/>
      <c r="G8" s="13"/>
      <c r="H8" s="13"/>
      <c r="I8" s="13"/>
      <c r="J8" s="13"/>
    </row>
    <row r="9" spans="1:11" ht="17.5" thickBot="1">
      <c r="A9" s="35" t="s">
        <v>0</v>
      </c>
      <c r="B9" s="35" t="s">
        <v>0</v>
      </c>
      <c r="C9" s="35" t="s">
        <v>0</v>
      </c>
      <c r="D9" s="35" t="s">
        <v>0</v>
      </c>
      <c r="E9" s="35" t="s">
        <v>0</v>
      </c>
      <c r="F9" s="35"/>
      <c r="G9" s="30"/>
      <c r="H9" s="30"/>
      <c r="I9" s="30"/>
      <c r="J9" s="30"/>
      <c r="K9" s="157"/>
    </row>
    <row r="10" spans="1:11" ht="17">
      <c r="A10" s="36" t="s">
        <v>0</v>
      </c>
      <c r="B10" s="36" t="s">
        <v>3</v>
      </c>
      <c r="C10" s="36" t="s">
        <v>5</v>
      </c>
      <c r="D10" s="36" t="s">
        <v>186</v>
      </c>
      <c r="E10" s="36" t="s">
        <v>193</v>
      </c>
      <c r="F10" s="36" t="s">
        <v>193</v>
      </c>
      <c r="G10" s="36" t="s">
        <v>193</v>
      </c>
      <c r="H10" s="36" t="s">
        <v>193</v>
      </c>
      <c r="I10" s="36" t="s">
        <v>193</v>
      </c>
      <c r="J10" s="36" t="s">
        <v>193</v>
      </c>
      <c r="K10" s="36" t="s">
        <v>297</v>
      </c>
    </row>
    <row r="11" spans="1:11" ht="17">
      <c r="A11" s="36"/>
      <c r="B11" s="36" t="s">
        <v>4</v>
      </c>
      <c r="C11" s="36" t="s">
        <v>6</v>
      </c>
      <c r="D11" s="36" t="s">
        <v>28</v>
      </c>
      <c r="E11" s="36" t="s">
        <v>188</v>
      </c>
      <c r="F11" s="36" t="s">
        <v>139</v>
      </c>
      <c r="G11" s="36" t="s">
        <v>188</v>
      </c>
      <c r="H11" s="36" t="s">
        <v>139</v>
      </c>
      <c r="I11" s="36" t="s">
        <v>188</v>
      </c>
      <c r="J11" s="36" t="s">
        <v>139</v>
      </c>
      <c r="K11" s="36" t="s">
        <v>205</v>
      </c>
    </row>
    <row r="12" spans="1:11" ht="17.5" thickBot="1">
      <c r="A12" s="38" t="s">
        <v>2</v>
      </c>
      <c r="B12" s="38" t="s">
        <v>0</v>
      </c>
      <c r="C12" s="38" t="s">
        <v>0</v>
      </c>
      <c r="D12" s="38" t="s">
        <v>0</v>
      </c>
      <c r="E12" s="38" t="s">
        <v>190</v>
      </c>
      <c r="F12" s="38" t="s">
        <v>190</v>
      </c>
      <c r="G12" s="38" t="s">
        <v>295</v>
      </c>
      <c r="H12" s="38" t="s">
        <v>295</v>
      </c>
      <c r="I12" s="38" t="s">
        <v>296</v>
      </c>
      <c r="J12" s="38" t="s">
        <v>296</v>
      </c>
      <c r="K12" s="235" t="s">
        <v>298</v>
      </c>
    </row>
    <row r="13" spans="1:11" ht="15">
      <c r="A13" s="40" t="s">
        <v>7</v>
      </c>
      <c r="B13" s="40" t="s">
        <v>7</v>
      </c>
      <c r="C13" s="40" t="s">
        <v>7</v>
      </c>
      <c r="D13" s="41" t="s">
        <v>132</v>
      </c>
      <c r="E13" s="40" t="s">
        <v>7</v>
      </c>
      <c r="F13" s="40" t="s">
        <v>0</v>
      </c>
      <c r="G13" s="40" t="s">
        <v>7</v>
      </c>
      <c r="H13" s="40" t="s">
        <v>0</v>
      </c>
      <c r="I13" s="40" t="s">
        <v>7</v>
      </c>
      <c r="J13" s="40" t="s">
        <v>0</v>
      </c>
      <c r="K13" s="40" t="s">
        <v>0</v>
      </c>
    </row>
    <row r="14" spans="1:11" ht="17">
      <c r="A14" s="36"/>
      <c r="B14" s="36"/>
      <c r="C14" s="36"/>
      <c r="D14" s="36"/>
      <c r="E14" s="36"/>
      <c r="F14" s="36"/>
      <c r="G14" s="13"/>
      <c r="H14" s="13"/>
      <c r="I14" s="13"/>
      <c r="J14" s="13"/>
      <c r="K14" s="13"/>
    </row>
    <row r="15" spans="1:11" ht="17">
      <c r="A15" s="13"/>
      <c r="B15" s="13"/>
      <c r="C15" s="13"/>
      <c r="D15" s="13"/>
      <c r="E15" s="13"/>
      <c r="F15" s="13"/>
      <c r="G15" s="13"/>
      <c r="H15" s="13"/>
      <c r="I15" s="13"/>
      <c r="J15" s="13"/>
      <c r="K15" s="13"/>
    </row>
    <row r="16" spans="1:11" ht="17.5">
      <c r="A16" s="65" t="str">
        <f>+'S&amp;D'!A22</f>
        <v>Atmos Energy Corp</v>
      </c>
      <c r="B16" s="92" t="str">
        <f>+'S&amp;D'!B22</f>
        <v>ATO</v>
      </c>
      <c r="C16" s="92" t="str">
        <f>+'S&amp;D'!C22</f>
        <v>Gas Utility</v>
      </c>
      <c r="D16" s="62">
        <f>+'S&amp;D'!G22</f>
        <v>115.9</v>
      </c>
      <c r="E16" s="64">
        <v>6.55</v>
      </c>
      <c r="F16" s="68">
        <f>+E16/D16</f>
        <v>5.6514236410698873E-2</v>
      </c>
      <c r="G16" s="64">
        <v>7</v>
      </c>
      <c r="H16" s="68">
        <f>+G16/D16</f>
        <v>6.0396893874029335E-2</v>
      </c>
      <c r="I16" s="64">
        <v>8.35</v>
      </c>
      <c r="J16" s="68">
        <f>+I16/D16</f>
        <v>7.2044866264020707E-2</v>
      </c>
      <c r="K16" s="370">
        <f t="shared" ref="K16:K26" si="0">RATE(3,,-G16,I16)</f>
        <v>6.0545922323321448E-2</v>
      </c>
    </row>
    <row r="17" spans="1:11" ht="17.5">
      <c r="A17" s="65" t="str">
        <f>+'S&amp;D'!A23</f>
        <v>Black Hills Corporation</v>
      </c>
      <c r="B17" s="92" t="str">
        <f>+'S&amp;D'!B23</f>
        <v>BKH</v>
      </c>
      <c r="C17" s="92" t="str">
        <f>+'S&amp;D'!C23</f>
        <v>Electric Utility - West</v>
      </c>
      <c r="D17" s="62">
        <f>+'S&amp;D'!G23</f>
        <v>53.95</v>
      </c>
      <c r="E17" s="64">
        <v>3.9</v>
      </c>
      <c r="F17" s="68">
        <f t="shared" ref="F17:F26" si="1">+E17/D17</f>
        <v>7.2289156626506021E-2</v>
      </c>
      <c r="G17" s="64">
        <v>4.0999999999999996</v>
      </c>
      <c r="H17" s="68">
        <f t="shared" ref="H17:H26" si="2">+G17/D17</f>
        <v>7.5996292863762735E-2</v>
      </c>
      <c r="I17" s="64">
        <v>4.75</v>
      </c>
      <c r="J17" s="68">
        <f t="shared" ref="J17:J26" si="3">+I17/D17</f>
        <v>8.8044485634847069E-2</v>
      </c>
      <c r="K17" s="370">
        <f t="shared" si="0"/>
        <v>5.02755392867585E-2</v>
      </c>
    </row>
    <row r="18" spans="1:11" ht="17.5">
      <c r="A18" s="65" t="str">
        <f>+'S&amp;D'!A24</f>
        <v>CenterPoint Energy Inc.</v>
      </c>
      <c r="B18" s="92" t="str">
        <f>+'S&amp;D'!B24</f>
        <v>CNP</v>
      </c>
      <c r="C18" s="92" t="str">
        <f>+'S&amp;D'!C24</f>
        <v>Electric Utility - Central</v>
      </c>
      <c r="D18" s="62">
        <f>+'S&amp;D'!G24</f>
        <v>28.57</v>
      </c>
      <c r="E18" s="64">
        <v>1.48</v>
      </c>
      <c r="F18" s="68">
        <f t="shared" si="1"/>
        <v>5.1802590129506478E-2</v>
      </c>
      <c r="G18" s="64">
        <v>1.6</v>
      </c>
      <c r="H18" s="68">
        <f t="shared" si="2"/>
        <v>5.6002800140007004E-2</v>
      </c>
      <c r="I18" s="64">
        <v>1.9</v>
      </c>
      <c r="J18" s="68">
        <f t="shared" si="3"/>
        <v>6.6503325166258315E-2</v>
      </c>
      <c r="K18" s="370">
        <f t="shared" si="0"/>
        <v>5.8955896068659343E-2</v>
      </c>
    </row>
    <row r="19" spans="1:11" ht="17.5">
      <c r="A19" s="65" t="str">
        <f>+'S&amp;D'!A25</f>
        <v>CMS Energy Corporation</v>
      </c>
      <c r="B19" s="92" t="str">
        <f>+'S&amp;D'!B25</f>
        <v>CMS</v>
      </c>
      <c r="C19" s="92" t="str">
        <f>+'S&amp;D'!C25</f>
        <v>Electric Utility - Central</v>
      </c>
      <c r="D19" s="62">
        <f>+'S&amp;D'!G25</f>
        <v>58.07</v>
      </c>
      <c r="E19" s="64">
        <v>3.25</v>
      </c>
      <c r="F19" s="68">
        <f t="shared" si="1"/>
        <v>5.5966936456001377E-2</v>
      </c>
      <c r="G19" s="64">
        <v>3.45</v>
      </c>
      <c r="H19" s="68">
        <f t="shared" si="2"/>
        <v>5.9411055622524543E-2</v>
      </c>
      <c r="I19" s="64">
        <v>3.75</v>
      </c>
      <c r="J19" s="68">
        <f t="shared" si="3"/>
        <v>6.4577234372309278E-2</v>
      </c>
      <c r="K19" s="370">
        <f t="shared" si="0"/>
        <v>2.8183722701926695E-2</v>
      </c>
    </row>
    <row r="20" spans="1:11" ht="17.5">
      <c r="A20" s="65" t="str">
        <f>+'S&amp;D'!A26</f>
        <v>New Jersey Resources Corp</v>
      </c>
      <c r="B20" s="92" t="str">
        <f>+'S&amp;D'!B26</f>
        <v>NJR</v>
      </c>
      <c r="C20" s="92" t="str">
        <f>+'S&amp;D'!C26</f>
        <v>Gas Utility</v>
      </c>
      <c r="D20" s="62">
        <f>+'S&amp;D'!G26</f>
        <v>44.58</v>
      </c>
      <c r="E20" s="64">
        <v>2.8</v>
      </c>
      <c r="F20" s="68">
        <f t="shared" si="1"/>
        <v>6.2808434275459846E-2</v>
      </c>
      <c r="G20" s="64">
        <v>2.9</v>
      </c>
      <c r="H20" s="68">
        <f t="shared" si="2"/>
        <v>6.5051592642440551E-2</v>
      </c>
      <c r="I20" s="64">
        <v>3.5</v>
      </c>
      <c r="J20" s="68">
        <f t="shared" si="3"/>
        <v>7.8510542844324807E-2</v>
      </c>
      <c r="K20" s="370">
        <f t="shared" si="0"/>
        <v>6.4690426080316499E-2</v>
      </c>
    </row>
    <row r="21" spans="1:11" ht="17.5">
      <c r="A21" s="65" t="str">
        <f>+'S&amp;D'!A27</f>
        <v>NISOURCE Inc.</v>
      </c>
      <c r="B21" s="92" t="str">
        <f>+'S&amp;D'!B27</f>
        <v>NI</v>
      </c>
      <c r="C21" s="92" t="str">
        <f>+'S&amp;D'!C27</f>
        <v>Gas Utility</v>
      </c>
      <c r="D21" s="62">
        <f>+'S&amp;D'!G27</f>
        <v>26.55</v>
      </c>
      <c r="E21" s="64">
        <v>1.7</v>
      </c>
      <c r="F21" s="68">
        <f t="shared" si="1"/>
        <v>6.4030131826741998E-2</v>
      </c>
      <c r="G21" s="64">
        <v>1.85</v>
      </c>
      <c r="H21" s="68">
        <f t="shared" si="2"/>
        <v>6.9679849340866296E-2</v>
      </c>
      <c r="I21" s="64">
        <v>2.1</v>
      </c>
      <c r="J21" s="68">
        <f t="shared" si="3"/>
        <v>7.909604519774012E-2</v>
      </c>
      <c r="K21" s="370">
        <f t="shared" si="0"/>
        <v>4.3155828045921975E-2</v>
      </c>
    </row>
    <row r="22" spans="1:11" ht="17.5">
      <c r="A22" s="65" t="str">
        <f>+'S&amp;D'!A28</f>
        <v xml:space="preserve">Northwest Natural Holding Company </v>
      </c>
      <c r="B22" s="92" t="str">
        <f>+'S&amp;D'!B28</f>
        <v>NWN</v>
      </c>
      <c r="C22" s="92" t="str">
        <f>+'S&amp;D'!C28</f>
        <v>Gas Utility</v>
      </c>
      <c r="D22" s="62">
        <f>+'S&amp;D'!G28</f>
        <v>38.94</v>
      </c>
      <c r="E22" s="64">
        <v>2.75</v>
      </c>
      <c r="F22" s="68">
        <f t="shared" si="1"/>
        <v>7.0621468926553674E-2</v>
      </c>
      <c r="G22" s="64">
        <v>3</v>
      </c>
      <c r="H22" s="68">
        <f t="shared" si="2"/>
        <v>7.7041602465331288E-2</v>
      </c>
      <c r="I22" s="64">
        <v>3.25</v>
      </c>
      <c r="J22" s="68">
        <f t="shared" si="3"/>
        <v>8.3461736004108888E-2</v>
      </c>
      <c r="K22" s="370">
        <f t="shared" si="0"/>
        <v>2.7040024624840446E-2</v>
      </c>
    </row>
    <row r="23" spans="1:11" ht="17.5">
      <c r="A23" s="65" t="str">
        <f>+'S&amp;D'!A29</f>
        <v>One Gas INC</v>
      </c>
      <c r="B23" s="92" t="str">
        <f>+'S&amp;D'!B29</f>
        <v>OGS</v>
      </c>
      <c r="C23" s="92" t="str">
        <f>+'S&amp;D'!C29</f>
        <v>Gas Utility</v>
      </c>
      <c r="D23" s="62">
        <f>+'S&amp;D'!G29</f>
        <v>63.72</v>
      </c>
      <c r="E23" s="64">
        <v>4.05</v>
      </c>
      <c r="F23" s="68">
        <f t="shared" si="1"/>
        <v>6.3559322033898302E-2</v>
      </c>
      <c r="G23" s="64">
        <v>4.2</v>
      </c>
      <c r="H23" s="68">
        <f t="shared" si="2"/>
        <v>6.5913370998116769E-2</v>
      </c>
      <c r="I23" s="64">
        <v>5</v>
      </c>
      <c r="J23" s="68">
        <f t="shared" si="3"/>
        <v>7.8468298807281858E-2</v>
      </c>
      <c r="K23" s="370">
        <f t="shared" si="0"/>
        <v>5.9839832952479098E-2</v>
      </c>
    </row>
    <row r="24" spans="1:11" ht="17.5">
      <c r="A24" s="65" t="str">
        <f>+'S&amp;D'!A30</f>
        <v>Southwest Gas Holdings, Inc</v>
      </c>
      <c r="B24" s="92" t="str">
        <f>+'S&amp;D'!B30</f>
        <v>SWX</v>
      </c>
      <c r="C24" s="92" t="str">
        <f>+'S&amp;D'!C30</f>
        <v>Gas Utility</v>
      </c>
      <c r="D24" s="62">
        <f>+'S&amp;D'!G30</f>
        <v>63.35</v>
      </c>
      <c r="E24" s="64">
        <v>3.3</v>
      </c>
      <c r="F24" s="68">
        <f t="shared" si="1"/>
        <v>5.209155485398579E-2</v>
      </c>
      <c r="G24" s="64">
        <v>4.2</v>
      </c>
      <c r="H24" s="68">
        <f t="shared" si="2"/>
        <v>6.6298342541436461E-2</v>
      </c>
      <c r="I24" s="64">
        <v>4.25</v>
      </c>
      <c r="J24" s="68">
        <f t="shared" si="3"/>
        <v>6.7087608524072612E-2</v>
      </c>
      <c r="K24" s="370">
        <f t="shared" si="0"/>
        <v>3.9526102563969137E-3</v>
      </c>
    </row>
    <row r="25" spans="1:11" ht="17.5">
      <c r="A25" s="65" t="str">
        <f>+'S&amp;D'!A31</f>
        <v>Spire Inc / Laclede Group Inc</v>
      </c>
      <c r="B25" s="92" t="str">
        <f>+'S&amp;D'!B31</f>
        <v>SR</v>
      </c>
      <c r="C25" s="92" t="str">
        <f>+'S&amp;D'!C31</f>
        <v>Gas Utility</v>
      </c>
      <c r="D25" s="62">
        <f>+'S&amp;D'!G31</f>
        <v>62.34</v>
      </c>
      <c r="E25" s="64">
        <v>4.0999999999999996</v>
      </c>
      <c r="F25" s="68">
        <f t="shared" si="1"/>
        <v>6.576836701957009E-2</v>
      </c>
      <c r="G25" s="64">
        <v>4.5</v>
      </c>
      <c r="H25" s="68">
        <f t="shared" si="2"/>
        <v>7.2184793070259864E-2</v>
      </c>
      <c r="I25" s="64">
        <v>5.5</v>
      </c>
      <c r="J25" s="68">
        <f t="shared" si="3"/>
        <v>8.822585819698428E-2</v>
      </c>
      <c r="K25" s="370">
        <f t="shared" si="0"/>
        <v>6.9178109999120385E-2</v>
      </c>
    </row>
    <row r="26" spans="1:11" ht="17.5">
      <c r="A26" s="65" t="str">
        <f>+'S&amp;D'!A32</f>
        <v>WEC Energy Group</v>
      </c>
      <c r="B26" s="92" t="str">
        <f>+'S&amp;D'!B32</f>
        <v>WEC</v>
      </c>
      <c r="C26" s="92" t="str">
        <f>+'S&amp;D'!C32</f>
        <v>Electric Utility - Central</v>
      </c>
      <c r="D26" s="62">
        <f>+'S&amp;D'!G32</f>
        <v>84.17</v>
      </c>
      <c r="E26" s="64">
        <v>4.9000000000000004</v>
      </c>
      <c r="F26" s="68">
        <f t="shared" si="1"/>
        <v>5.8215516217179519E-2</v>
      </c>
      <c r="G26" s="64">
        <v>5.25</v>
      </c>
      <c r="H26" s="68">
        <f t="shared" si="2"/>
        <v>6.2373767375549484E-2</v>
      </c>
      <c r="I26" s="64">
        <v>6.3</v>
      </c>
      <c r="J26" s="68">
        <f t="shared" si="3"/>
        <v>7.4848520850659378E-2</v>
      </c>
      <c r="K26" s="370">
        <f t="shared" si="0"/>
        <v>6.2658569184943141E-2</v>
      </c>
    </row>
    <row r="27" spans="1:11" ht="17.5" thickBot="1">
      <c r="A27" s="13"/>
      <c r="B27" s="13"/>
      <c r="C27" s="45"/>
      <c r="D27" s="48"/>
      <c r="E27" s="48"/>
      <c r="F27" s="48"/>
      <c r="G27" s="48"/>
      <c r="H27" s="48"/>
      <c r="I27" s="48"/>
      <c r="J27" s="48"/>
      <c r="K27" s="48"/>
    </row>
    <row r="28" spans="1:11" ht="17.5" thickTop="1">
      <c r="A28" s="13"/>
      <c r="B28" s="13"/>
      <c r="D28" s="15" t="s">
        <v>56</v>
      </c>
      <c r="E28" s="17">
        <f>MAX(E16:E26)</f>
        <v>6.55</v>
      </c>
      <c r="F28" s="301">
        <f t="shared" ref="F28:K28" si="4">MAX(F16:F26)</f>
        <v>7.2289156626506021E-2</v>
      </c>
      <c r="G28" s="17">
        <f t="shared" si="4"/>
        <v>7</v>
      </c>
      <c r="H28" s="301">
        <f t="shared" si="4"/>
        <v>7.7041602465331288E-2</v>
      </c>
      <c r="I28" s="17">
        <f t="shared" si="4"/>
        <v>8.35</v>
      </c>
      <c r="J28" s="301">
        <f t="shared" si="4"/>
        <v>8.822585819698428E-2</v>
      </c>
      <c r="K28" s="301">
        <f t="shared" si="4"/>
        <v>6.9178109999120385E-2</v>
      </c>
    </row>
    <row r="29" spans="1:11" ht="17">
      <c r="A29" s="13"/>
      <c r="B29" s="13"/>
      <c r="D29" s="15" t="s">
        <v>57</v>
      </c>
      <c r="E29" s="305">
        <f>MIN(E16:E26)</f>
        <v>1.48</v>
      </c>
      <c r="F29" s="302">
        <f t="shared" ref="F29:K29" si="5">MIN(F16:F26)</f>
        <v>5.1802590129506478E-2</v>
      </c>
      <c r="G29" s="305">
        <f t="shared" si="5"/>
        <v>1.6</v>
      </c>
      <c r="H29" s="302">
        <f t="shared" si="5"/>
        <v>5.6002800140007004E-2</v>
      </c>
      <c r="I29" s="305">
        <f t="shared" si="5"/>
        <v>1.9</v>
      </c>
      <c r="J29" s="302">
        <f t="shared" si="5"/>
        <v>6.4577234372309278E-2</v>
      </c>
      <c r="K29" s="302">
        <f t="shared" si="5"/>
        <v>3.9526102563969137E-3</v>
      </c>
    </row>
    <row r="30" spans="1:11" ht="17">
      <c r="A30" s="13"/>
      <c r="B30" s="13"/>
      <c r="D30" s="15" t="s">
        <v>18</v>
      </c>
      <c r="E30" s="18">
        <f t="shared" ref="E30:K30" si="6">MEDIAN(E16:E26)</f>
        <v>3.3</v>
      </c>
      <c r="F30" s="57">
        <f t="shared" si="6"/>
        <v>6.2808434275459846E-2</v>
      </c>
      <c r="G30" s="18">
        <f t="shared" si="6"/>
        <v>4.0999999999999996</v>
      </c>
      <c r="H30" s="57">
        <f t="shared" si="6"/>
        <v>6.5913370998116769E-2</v>
      </c>
      <c r="I30" s="18">
        <f t="shared" si="6"/>
        <v>4.25</v>
      </c>
      <c r="J30" s="57">
        <f t="shared" si="6"/>
        <v>7.8468298807281858E-2</v>
      </c>
      <c r="K30" s="57">
        <f t="shared" si="6"/>
        <v>5.8955896068659343E-2</v>
      </c>
    </row>
    <row r="31" spans="1:11" ht="17">
      <c r="A31" s="13"/>
      <c r="B31" s="13"/>
      <c r="D31" s="15" t="s">
        <v>448</v>
      </c>
      <c r="E31" s="22">
        <f t="shared" ref="E31:K31" si="7">AVERAGE(E16:E26)</f>
        <v>3.5254545454545454</v>
      </c>
      <c r="F31" s="59">
        <f t="shared" si="7"/>
        <v>6.1242519525100174E-2</v>
      </c>
      <c r="G31" s="22">
        <f t="shared" si="7"/>
        <v>3.8227272727272723</v>
      </c>
      <c r="H31" s="59">
        <f t="shared" si="7"/>
        <v>6.6395487357665844E-2</v>
      </c>
      <c r="I31" s="22">
        <f t="shared" si="7"/>
        <v>4.4227272727272728</v>
      </c>
      <c r="J31" s="59">
        <f t="shared" si="7"/>
        <v>7.6442592896600658E-2</v>
      </c>
      <c r="K31" s="59">
        <f t="shared" si="7"/>
        <v>4.8043316502244034E-2</v>
      </c>
    </row>
    <row r="32" spans="1:11" ht="17">
      <c r="A32" s="13"/>
      <c r="B32" s="13"/>
      <c r="D32" s="13"/>
      <c r="E32" s="13"/>
      <c r="F32" s="13"/>
      <c r="G32" s="13"/>
      <c r="H32" s="13"/>
      <c r="I32" s="13"/>
      <c r="J32" s="13"/>
      <c r="K32" s="13"/>
    </row>
    <row r="33" spans="1:11" ht="25.5">
      <c r="A33" s="13"/>
      <c r="B33" s="13"/>
      <c r="C33" s="13"/>
      <c r="D33" s="13"/>
      <c r="E33" s="13"/>
      <c r="F33" s="51" t="s">
        <v>0</v>
      </c>
      <c r="G33" s="66" t="s">
        <v>0</v>
      </c>
      <c r="H33" s="13"/>
      <c r="I33" s="13"/>
      <c r="J33" s="13"/>
      <c r="K33" s="13"/>
    </row>
    <row r="34" spans="1:11" ht="18.5">
      <c r="A34" s="236" t="s">
        <v>299</v>
      </c>
    </row>
  </sheetData>
  <pageMargins left="0.25" right="0.25"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415314-3D1E-4282-B49A-D50FB7FEF976}"/>
</file>

<file path=customXml/itemProps2.xml><?xml version="1.0" encoding="utf-8"?>
<ds:datastoreItem xmlns:ds="http://schemas.openxmlformats.org/officeDocument/2006/customXml" ds:itemID="{A3068A62-FED3-4576-9E2A-B03E3F7EFD90}"/>
</file>

<file path=customXml/itemProps3.xml><?xml version="1.0" encoding="utf-8"?>
<ds:datastoreItem xmlns:ds="http://schemas.openxmlformats.org/officeDocument/2006/customXml" ds:itemID="{B17B823A-28C2-4CEC-8E58-C0E4097D79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Rates</vt:lpstr>
      <vt:lpstr>CAPM</vt:lpstr>
      <vt:lpstr>Single Stage Div Growth Model</vt:lpstr>
      <vt:lpstr>Two-Stage Dividend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Rates'!Print_Area</vt:lpstr>
      <vt:lpstr>'Maintenance CapEx'!Print_Area</vt:lpstr>
      <vt:lpstr>'Market to Book Ratios'!Print_Area</vt:lpstr>
      <vt:lpstr>Multiples!Print_Area</vt:lpstr>
      <vt:lpstr>'S&amp;D'!Print_Area</vt:lpstr>
      <vt:lpstr>'Single Stage Div Growth Model'!Print_Area</vt:lpstr>
      <vt:lpstr>'Two-Stage Dividend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Natural Gas Utility Distribution</dc:title>
  <dc:creator>%USERNAME%</dc:creator>
  <cp:lastModifiedBy>Baker, Mike A (DOR)</cp:lastModifiedBy>
  <cp:lastPrinted>2023-05-30T16:50:43Z</cp:lastPrinted>
  <dcterms:created xsi:type="dcterms:W3CDTF">2016-02-12T19:29:24Z</dcterms:created>
  <dcterms:modified xsi:type="dcterms:W3CDTF">2024-07-26T18:29:07Z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